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sme\OneDrive\Documents\LSE\Sipher street\broadcom\"/>
    </mc:Choice>
  </mc:AlternateContent>
  <xr:revisionPtr revIDLastSave="0" documentId="13_ncr:1_{8DF44DD2-85FB-4262-96DA-514AFF418512}" xr6:coauthVersionLast="47" xr6:coauthVersionMax="47" xr10:uidLastSave="{00000000-0000-0000-0000-000000000000}"/>
  <bookViews>
    <workbookView xWindow="-28920" yWindow="-120" windowWidth="29040" windowHeight="15720" xr2:uid="{A7FEEC66-65F4-4878-9CCB-575AA59C3ADA}"/>
  </bookViews>
  <sheets>
    <sheet name="Cover" sheetId="5" r:id="rId1"/>
    <sheet name="Control" sheetId="7" r:id="rId2"/>
    <sheet name="Drivers &amp; Operating Metrics" sheetId="10" r:id="rId3"/>
    <sheet name="Revenue Build" sheetId="13" r:id="rId4"/>
    <sheet name="DCF" sheetId="12" r:id="rId5"/>
    <sheet name="NWC" sheetId="11" r:id="rId6"/>
    <sheet name="WACC" sheetId="9" r:id="rId7"/>
    <sheet name="Income Statement" sheetId="1" r:id="rId8"/>
    <sheet name="Balance Sheet" sheetId="2" r:id="rId9"/>
    <sheet name="Cash Flow" sheetId="3" r:id="rId10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13" l="1"/>
  <c r="H103" i="13"/>
  <c r="G103" i="13"/>
  <c r="F103" i="13"/>
  <c r="E103" i="13"/>
  <c r="D103" i="13"/>
  <c r="C103" i="13"/>
  <c r="I102" i="13"/>
  <c r="H102" i="13"/>
  <c r="G102" i="13"/>
  <c r="F102" i="13"/>
  <c r="E102" i="13"/>
  <c r="D102" i="13"/>
  <c r="C102" i="13"/>
  <c r="I100" i="13"/>
  <c r="H100" i="13"/>
  <c r="G100" i="13"/>
  <c r="F100" i="13"/>
  <c r="E100" i="13"/>
  <c r="D100" i="13"/>
  <c r="C100" i="13"/>
  <c r="I82" i="13"/>
  <c r="H82" i="13"/>
  <c r="G82" i="13"/>
  <c r="I19" i="10"/>
  <c r="H19" i="10"/>
  <c r="G19" i="10"/>
  <c r="F19" i="10"/>
  <c r="E19" i="10"/>
  <c r="D19" i="10"/>
  <c r="C19" i="10"/>
  <c r="G13" i="10"/>
  <c r="F13" i="10"/>
  <c r="E13" i="10"/>
  <c r="D13" i="10"/>
  <c r="D14" i="10" s="1"/>
  <c r="C13" i="10"/>
  <c r="H10" i="10"/>
  <c r="G10" i="10"/>
  <c r="F10" i="10"/>
  <c r="E10" i="10"/>
  <c r="D10" i="10"/>
  <c r="C10" i="10"/>
  <c r="F7" i="10"/>
  <c r="E7" i="10"/>
  <c r="D7" i="10"/>
  <c r="C7" i="10"/>
  <c r="G98" i="13"/>
  <c r="F98" i="13"/>
  <c r="E98" i="13"/>
  <c r="D98" i="13"/>
  <c r="I97" i="13"/>
  <c r="I13" i="10" s="1"/>
  <c r="H97" i="13"/>
  <c r="H98" i="13" s="1"/>
  <c r="I93" i="13"/>
  <c r="I88" i="13"/>
  <c r="F83" i="13"/>
  <c r="E83" i="13"/>
  <c r="D83" i="13"/>
  <c r="I10" i="10"/>
  <c r="H83" i="13"/>
  <c r="G83" i="13"/>
  <c r="I78" i="13"/>
  <c r="H78" i="13"/>
  <c r="I73" i="13"/>
  <c r="H73" i="13"/>
  <c r="I68" i="13"/>
  <c r="H68" i="13"/>
  <c r="I63" i="13"/>
  <c r="H63" i="13"/>
  <c r="I58" i="13"/>
  <c r="H58" i="13"/>
  <c r="I44" i="13"/>
  <c r="I52" i="13" s="1"/>
  <c r="I7" i="10" s="1"/>
  <c r="H44" i="13"/>
  <c r="H52" i="13" s="1"/>
  <c r="H50" i="13" s="1"/>
  <c r="G44" i="13"/>
  <c r="G52" i="13" s="1"/>
  <c r="G50" i="13" s="1"/>
  <c r="D3" i="13"/>
  <c r="J63" i="13" s="1"/>
  <c r="J62" i="13" s="1"/>
  <c r="I17" i="9"/>
  <c r="I16" i="9"/>
  <c r="I15" i="9"/>
  <c r="I10" i="9"/>
  <c r="I7" i="9"/>
  <c r="I9" i="9" s="1"/>
  <c r="M17" i="12"/>
  <c r="M15" i="12"/>
  <c r="E32" i="12"/>
  <c r="F32" i="12" s="1"/>
  <c r="G32" i="12" s="1"/>
  <c r="H32" i="12" s="1"/>
  <c r="I32" i="12" s="1"/>
  <c r="D16" i="11"/>
  <c r="E16" i="11"/>
  <c r="F16" i="11"/>
  <c r="G16" i="11"/>
  <c r="H16" i="11"/>
  <c r="I16" i="11"/>
  <c r="C16" i="11"/>
  <c r="D15" i="11"/>
  <c r="E15" i="11"/>
  <c r="F15" i="11"/>
  <c r="G15" i="11"/>
  <c r="H15" i="11"/>
  <c r="I15" i="11"/>
  <c r="J15" i="11" s="1"/>
  <c r="C15" i="11"/>
  <c r="D14" i="11"/>
  <c r="E14" i="11"/>
  <c r="F14" i="11"/>
  <c r="G14" i="11"/>
  <c r="H14" i="11"/>
  <c r="I14" i="11"/>
  <c r="C14" i="11"/>
  <c r="D11" i="11"/>
  <c r="E11" i="11"/>
  <c r="F11" i="11"/>
  <c r="G11" i="11"/>
  <c r="H11" i="11"/>
  <c r="I11" i="11"/>
  <c r="J11" i="11" s="1"/>
  <c r="K11" i="11" s="1"/>
  <c r="L11" i="11" s="1"/>
  <c r="M11" i="11" s="1"/>
  <c r="N11" i="11" s="1"/>
  <c r="O11" i="11" s="1"/>
  <c r="C11" i="11"/>
  <c r="D10" i="11"/>
  <c r="E10" i="11"/>
  <c r="F10" i="11"/>
  <c r="G10" i="11"/>
  <c r="H10" i="11"/>
  <c r="I10" i="11"/>
  <c r="C10" i="11"/>
  <c r="D9" i="11"/>
  <c r="E9" i="11"/>
  <c r="F9" i="11"/>
  <c r="G9" i="11"/>
  <c r="H9" i="11"/>
  <c r="I9" i="11"/>
  <c r="C9" i="11"/>
  <c r="D3" i="10"/>
  <c r="O99" i="10" s="1"/>
  <c r="D98" i="10"/>
  <c r="E98" i="10"/>
  <c r="F98" i="10"/>
  <c r="G98" i="10"/>
  <c r="H98" i="10"/>
  <c r="I98" i="10"/>
  <c r="C98" i="10"/>
  <c r="D92" i="10"/>
  <c r="E92" i="10"/>
  <c r="F92" i="10"/>
  <c r="G92" i="10"/>
  <c r="H92" i="10"/>
  <c r="I92" i="10"/>
  <c r="C92" i="10"/>
  <c r="D86" i="10"/>
  <c r="E86" i="10"/>
  <c r="F86" i="10"/>
  <c r="G86" i="10"/>
  <c r="H86" i="10"/>
  <c r="I86" i="10"/>
  <c r="C86" i="10"/>
  <c r="D80" i="10"/>
  <c r="E80" i="10"/>
  <c r="F80" i="10"/>
  <c r="G80" i="10"/>
  <c r="H80" i="10"/>
  <c r="I80" i="10"/>
  <c r="C80" i="10"/>
  <c r="D65" i="10"/>
  <c r="E65" i="10"/>
  <c r="F65" i="10"/>
  <c r="G65" i="10"/>
  <c r="H65" i="10"/>
  <c r="I65" i="10"/>
  <c r="C65" i="10"/>
  <c r="D57" i="10"/>
  <c r="E57" i="10"/>
  <c r="F57" i="10"/>
  <c r="G57" i="10"/>
  <c r="H57" i="10"/>
  <c r="I57" i="10"/>
  <c r="C26" i="12" s="1"/>
  <c r="C57" i="10"/>
  <c r="D51" i="10"/>
  <c r="E51" i="10"/>
  <c r="F51" i="10"/>
  <c r="G51" i="10"/>
  <c r="H51" i="10"/>
  <c r="I51" i="10"/>
  <c r="C51" i="10"/>
  <c r="D43" i="10"/>
  <c r="E43" i="10"/>
  <c r="F43" i="10"/>
  <c r="G43" i="10"/>
  <c r="H43" i="10"/>
  <c r="I43" i="10"/>
  <c r="C25" i="12" s="1"/>
  <c r="C43" i="10"/>
  <c r="D37" i="10"/>
  <c r="E37" i="10"/>
  <c r="F37" i="10"/>
  <c r="G37" i="10"/>
  <c r="H37" i="10"/>
  <c r="I37" i="10"/>
  <c r="C15" i="12" s="1"/>
  <c r="C37" i="10"/>
  <c r="D31" i="10"/>
  <c r="E31" i="10"/>
  <c r="F31" i="10"/>
  <c r="G31" i="10"/>
  <c r="H31" i="10"/>
  <c r="I31" i="10"/>
  <c r="C14" i="12" s="1"/>
  <c r="C31" i="10"/>
  <c r="D25" i="10"/>
  <c r="E25" i="10"/>
  <c r="F25" i="10"/>
  <c r="G25" i="10"/>
  <c r="H25" i="10"/>
  <c r="I25" i="10"/>
  <c r="C9" i="12" s="1"/>
  <c r="C25" i="10"/>
  <c r="E12" i="9"/>
  <c r="G22" i="9" s="1"/>
  <c r="E11" i="9"/>
  <c r="E10" i="9"/>
  <c r="J17" i="9"/>
  <c r="J16" i="9"/>
  <c r="J15" i="9"/>
  <c r="J10" i="9"/>
  <c r="J7" i="9"/>
  <c r="J9" i="9" s="1"/>
  <c r="I11" i="10" l="1"/>
  <c r="H11" i="10"/>
  <c r="G11" i="10"/>
  <c r="J93" i="13"/>
  <c r="J92" i="13" s="1"/>
  <c r="J73" i="13"/>
  <c r="J72" i="13" s="1"/>
  <c r="D11" i="10"/>
  <c r="E11" i="10"/>
  <c r="F11" i="10"/>
  <c r="K73" i="13"/>
  <c r="K72" i="13" s="1"/>
  <c r="M46" i="13"/>
  <c r="L73" i="13"/>
  <c r="K93" i="13"/>
  <c r="H7" i="10"/>
  <c r="I8" i="10" s="1"/>
  <c r="L93" i="13"/>
  <c r="M93" i="13"/>
  <c r="G7" i="10"/>
  <c r="N46" i="13"/>
  <c r="M73" i="13"/>
  <c r="N73" i="13"/>
  <c r="N93" i="13"/>
  <c r="O14" i="13"/>
  <c r="M14" i="13"/>
  <c r="O93" i="13"/>
  <c r="N24" i="13"/>
  <c r="M63" i="13"/>
  <c r="H13" i="10"/>
  <c r="H14" i="10" s="1"/>
  <c r="O46" i="13"/>
  <c r="O73" i="13"/>
  <c r="O24" i="13"/>
  <c r="J29" i="13"/>
  <c r="L63" i="13"/>
  <c r="K29" i="13"/>
  <c r="L29" i="13"/>
  <c r="N14" i="13"/>
  <c r="E14" i="10"/>
  <c r="G14" i="10"/>
  <c r="M29" i="13"/>
  <c r="L14" i="13"/>
  <c r="I98" i="13"/>
  <c r="K63" i="13"/>
  <c r="K62" i="13" s="1"/>
  <c r="F14" i="10"/>
  <c r="L39" i="13"/>
  <c r="M39" i="13"/>
  <c r="N63" i="13"/>
  <c r="I83" i="13"/>
  <c r="N39" i="13"/>
  <c r="O63" i="13"/>
  <c r="O39" i="13"/>
  <c r="J14" i="13"/>
  <c r="K14" i="13"/>
  <c r="J19" i="13"/>
  <c r="N29" i="13"/>
  <c r="J58" i="13"/>
  <c r="J57" i="13" s="1"/>
  <c r="K19" i="13"/>
  <c r="O29" i="13"/>
  <c r="K58" i="13"/>
  <c r="M14" i="12"/>
  <c r="L19" i="13"/>
  <c r="J34" i="13"/>
  <c r="L58" i="13"/>
  <c r="J68" i="13"/>
  <c r="J67" i="13" s="1"/>
  <c r="J78" i="13"/>
  <c r="J77" i="13" s="1"/>
  <c r="M19" i="13"/>
  <c r="K34" i="13"/>
  <c r="M58" i="13"/>
  <c r="K68" i="13"/>
  <c r="K78" i="13"/>
  <c r="J88" i="13"/>
  <c r="J87" i="13" s="1"/>
  <c r="J9" i="13"/>
  <c r="L34" i="13"/>
  <c r="L78" i="13"/>
  <c r="N19" i="13"/>
  <c r="N58" i="13"/>
  <c r="L68" i="13"/>
  <c r="K88" i="13"/>
  <c r="K9" i="13"/>
  <c r="O19" i="13"/>
  <c r="M34" i="13"/>
  <c r="O58" i="13"/>
  <c r="M68" i="13"/>
  <c r="M78" i="13"/>
  <c r="L88" i="13"/>
  <c r="M9" i="13"/>
  <c r="K24" i="13"/>
  <c r="O34" i="13"/>
  <c r="J46" i="13"/>
  <c r="O68" i="13"/>
  <c r="O78" i="13"/>
  <c r="N88" i="13"/>
  <c r="L9" i="13"/>
  <c r="M88" i="13"/>
  <c r="N9" i="13"/>
  <c r="L24" i="13"/>
  <c r="J39" i="13"/>
  <c r="K46" i="13"/>
  <c r="O88" i="13"/>
  <c r="J24" i="13"/>
  <c r="N34" i="13"/>
  <c r="N68" i="13"/>
  <c r="N78" i="13"/>
  <c r="O9" i="13"/>
  <c r="M24" i="13"/>
  <c r="K39" i="13"/>
  <c r="L46" i="13"/>
  <c r="I50" i="13"/>
  <c r="I11" i="9"/>
  <c r="I18" i="9"/>
  <c r="J105" i="10"/>
  <c r="M7" i="12" s="1"/>
  <c r="D17" i="11"/>
  <c r="J11" i="9"/>
  <c r="J22" i="9" s="1"/>
  <c r="H17" i="11"/>
  <c r="D12" i="11"/>
  <c r="D19" i="11" s="1"/>
  <c r="C12" i="11"/>
  <c r="E12" i="11"/>
  <c r="E17" i="11"/>
  <c r="E66" i="10"/>
  <c r="G17" i="11"/>
  <c r="F17" i="11"/>
  <c r="H12" i="11"/>
  <c r="F12" i="11"/>
  <c r="C17" i="11"/>
  <c r="I66" i="10"/>
  <c r="I12" i="11"/>
  <c r="G12" i="11"/>
  <c r="K15" i="11"/>
  <c r="L15" i="11" s="1"/>
  <c r="M15" i="11" s="1"/>
  <c r="N15" i="11" s="1"/>
  <c r="O15" i="11" s="1"/>
  <c r="I17" i="11"/>
  <c r="G66" i="10"/>
  <c r="H66" i="10"/>
  <c r="J81" i="10"/>
  <c r="L58" i="10"/>
  <c r="K52" i="10"/>
  <c r="M52" i="10"/>
  <c r="N58" i="10"/>
  <c r="J26" i="10"/>
  <c r="O73" i="10"/>
  <c r="L26" i="10"/>
  <c r="N52" i="10"/>
  <c r="L81" i="10"/>
  <c r="J58" i="10"/>
  <c r="K58" i="10"/>
  <c r="M58" i="10"/>
  <c r="N93" i="10"/>
  <c r="O87" i="10"/>
  <c r="K38" i="10"/>
  <c r="N65" i="10"/>
  <c r="O65" i="10"/>
  <c r="O38" i="10"/>
  <c r="J44" i="10"/>
  <c r="L73" i="10"/>
  <c r="O93" i="10"/>
  <c r="N73" i="10"/>
  <c r="L52" i="10"/>
  <c r="K26" i="10"/>
  <c r="K81" i="10"/>
  <c r="L32" i="10"/>
  <c r="O52" i="10"/>
  <c r="M32" i="10"/>
  <c r="L87" i="10"/>
  <c r="N32" i="10"/>
  <c r="M87" i="10"/>
  <c r="O32" i="10"/>
  <c r="N87" i="10"/>
  <c r="J38" i="10"/>
  <c r="J93" i="10"/>
  <c r="L38" i="10"/>
  <c r="K93" i="10"/>
  <c r="M38" i="10"/>
  <c r="L93" i="10"/>
  <c r="N38" i="10"/>
  <c r="J73" i="10"/>
  <c r="M93" i="10"/>
  <c r="K73" i="10"/>
  <c r="J52" i="10"/>
  <c r="M73" i="10"/>
  <c r="J99" i="10"/>
  <c r="D66" i="10"/>
  <c r="M26" i="10"/>
  <c r="K44" i="10"/>
  <c r="O58" i="10"/>
  <c r="M81" i="10"/>
  <c r="K99" i="10"/>
  <c r="N26" i="10"/>
  <c r="L44" i="10"/>
  <c r="J65" i="10"/>
  <c r="J66" i="10" s="1"/>
  <c r="N81" i="10"/>
  <c r="L99" i="10"/>
  <c r="O26" i="10"/>
  <c r="M44" i="10"/>
  <c r="K65" i="10"/>
  <c r="O81" i="10"/>
  <c r="M99" i="10"/>
  <c r="J32" i="10"/>
  <c r="N44" i="10"/>
  <c r="L65" i="10"/>
  <c r="J87" i="10"/>
  <c r="N99" i="10"/>
  <c r="K32" i="10"/>
  <c r="O44" i="10"/>
  <c r="M65" i="10"/>
  <c r="K87" i="10"/>
  <c r="F66" i="10"/>
  <c r="G23" i="9"/>
  <c r="G24" i="9" s="1"/>
  <c r="J18" i="9"/>
  <c r="J23" i="9" s="1"/>
  <c r="K92" i="13" l="1"/>
  <c r="L92" i="13" s="1"/>
  <c r="M92" i="13" s="1"/>
  <c r="N92" i="13" s="1"/>
  <c r="O92" i="13" s="1"/>
  <c r="L62" i="13"/>
  <c r="M62" i="13" s="1"/>
  <c r="N62" i="13" s="1"/>
  <c r="J97" i="13"/>
  <c r="J13" i="10" s="1"/>
  <c r="J14" i="10" s="1"/>
  <c r="H8" i="10"/>
  <c r="L72" i="13"/>
  <c r="M72" i="13" s="1"/>
  <c r="N72" i="13" s="1"/>
  <c r="O72" i="13" s="1"/>
  <c r="H19" i="11"/>
  <c r="K57" i="13"/>
  <c r="L57" i="13" s="1"/>
  <c r="I14" i="10"/>
  <c r="K67" i="13"/>
  <c r="L67" i="13" s="1"/>
  <c r="M67" i="13" s="1"/>
  <c r="N67" i="13" s="1"/>
  <c r="O67" i="13" s="1"/>
  <c r="O62" i="13"/>
  <c r="K87" i="13"/>
  <c r="L87" i="13" s="1"/>
  <c r="N44" i="13"/>
  <c r="N52" i="13" s="1"/>
  <c r="N7" i="10" s="1"/>
  <c r="K77" i="13"/>
  <c r="L77" i="13" s="1"/>
  <c r="M77" i="13" s="1"/>
  <c r="N77" i="13" s="1"/>
  <c r="O77" i="13" s="1"/>
  <c r="K44" i="13"/>
  <c r="K52" i="13" s="1"/>
  <c r="K7" i="10" s="1"/>
  <c r="J82" i="13"/>
  <c r="L44" i="13"/>
  <c r="L52" i="13" s="1"/>
  <c r="L7" i="10" s="1"/>
  <c r="O44" i="13"/>
  <c r="O52" i="13" s="1"/>
  <c r="O7" i="10" s="1"/>
  <c r="J44" i="13"/>
  <c r="J52" i="13" s="1"/>
  <c r="M44" i="13"/>
  <c r="M52" i="13" s="1"/>
  <c r="M7" i="10" s="1"/>
  <c r="I53" i="13"/>
  <c r="H53" i="13"/>
  <c r="H23" i="9"/>
  <c r="N66" i="10"/>
  <c r="E19" i="11"/>
  <c r="E20" i="11" s="1"/>
  <c r="F19" i="11"/>
  <c r="F20" i="11" s="1"/>
  <c r="H22" i="9"/>
  <c r="J24" i="9" s="1"/>
  <c r="O66" i="10"/>
  <c r="G19" i="11"/>
  <c r="I19" i="11"/>
  <c r="I20" i="11" s="1"/>
  <c r="C27" i="12" s="1"/>
  <c r="C19" i="11"/>
  <c r="D20" i="11" s="1"/>
  <c r="L66" i="10"/>
  <c r="K66" i="10"/>
  <c r="M66" i="10"/>
  <c r="M8" i="10" l="1"/>
  <c r="J98" i="13"/>
  <c r="L8" i="10"/>
  <c r="O8" i="10"/>
  <c r="K97" i="13"/>
  <c r="K13" i="10" s="1"/>
  <c r="N8" i="10"/>
  <c r="J83" i="13"/>
  <c r="J10" i="10"/>
  <c r="J11" i="10" s="1"/>
  <c r="H20" i="11"/>
  <c r="J100" i="13"/>
  <c r="J19" i="10" s="1"/>
  <c r="J98" i="10" s="1"/>
  <c r="J16" i="11" s="1"/>
  <c r="J7" i="10"/>
  <c r="O50" i="13"/>
  <c r="K82" i="13"/>
  <c r="K10" i="10" s="1"/>
  <c r="K11" i="10" s="1"/>
  <c r="N50" i="13"/>
  <c r="M50" i="13"/>
  <c r="N53" i="13"/>
  <c r="L50" i="13"/>
  <c r="M53" i="13"/>
  <c r="K50" i="13"/>
  <c r="L53" i="13"/>
  <c r="J50" i="13"/>
  <c r="K53" i="13"/>
  <c r="J53" i="13"/>
  <c r="G20" i="11"/>
  <c r="O53" i="13"/>
  <c r="L97" i="13"/>
  <c r="L13" i="10" s="1"/>
  <c r="M87" i="13"/>
  <c r="K98" i="13"/>
  <c r="M57" i="13"/>
  <c r="L82" i="13"/>
  <c r="H24" i="9"/>
  <c r="I26" i="9"/>
  <c r="C31" i="12" s="1"/>
  <c r="J109" i="13" l="1"/>
  <c r="J107" i="13"/>
  <c r="J108" i="13"/>
  <c r="K100" i="13"/>
  <c r="K19" i="10" s="1"/>
  <c r="K20" i="10" s="1"/>
  <c r="J31" i="10"/>
  <c r="D14" i="12" s="1"/>
  <c r="J57" i="10"/>
  <c r="D26" i="12" s="1"/>
  <c r="J80" i="10"/>
  <c r="J9" i="11" s="1"/>
  <c r="J51" i="10"/>
  <c r="J43" i="10"/>
  <c r="D25" i="12" s="1"/>
  <c r="J92" i="10"/>
  <c r="J14" i="11" s="1"/>
  <c r="J17" i="11" s="1"/>
  <c r="J37" i="10"/>
  <c r="D15" i="12" s="1"/>
  <c r="K83" i="13"/>
  <c r="J86" i="10"/>
  <c r="J10" i="11" s="1"/>
  <c r="J12" i="11" s="1"/>
  <c r="D7" i="12"/>
  <c r="J25" i="10"/>
  <c r="D9" i="12" s="1"/>
  <c r="K8" i="10"/>
  <c r="J8" i="10"/>
  <c r="L14" i="10"/>
  <c r="K14" i="10"/>
  <c r="L83" i="13"/>
  <c r="L10" i="10"/>
  <c r="L11" i="10" s="1"/>
  <c r="L100" i="13"/>
  <c r="L19" i="10" s="1"/>
  <c r="L20" i="10" s="1"/>
  <c r="K108" i="13"/>
  <c r="K107" i="13"/>
  <c r="K101" i="13"/>
  <c r="K109" i="13"/>
  <c r="K110" i="13" s="1"/>
  <c r="M97" i="13"/>
  <c r="M13" i="10" s="1"/>
  <c r="M14" i="10" s="1"/>
  <c r="N87" i="13"/>
  <c r="L98" i="13"/>
  <c r="N57" i="13"/>
  <c r="M82" i="13"/>
  <c r="M10" i="10" s="1"/>
  <c r="E33" i="12"/>
  <c r="I33" i="12"/>
  <c r="M9" i="12" s="1"/>
  <c r="D33" i="12"/>
  <c r="H33" i="12"/>
  <c r="G33" i="12"/>
  <c r="F33" i="12"/>
  <c r="K25" i="10"/>
  <c r="E9" i="12" s="1"/>
  <c r="K86" i="10"/>
  <c r="K10" i="11" s="1"/>
  <c r="K98" i="10"/>
  <c r="K16" i="11" s="1"/>
  <c r="K92" i="10"/>
  <c r="K14" i="11" s="1"/>
  <c r="K43" i="10"/>
  <c r="E25" i="12" s="1"/>
  <c r="K31" i="10"/>
  <c r="E14" i="12" s="1"/>
  <c r="K37" i="10"/>
  <c r="E15" i="12" s="1"/>
  <c r="K57" i="10"/>
  <c r="E26" i="12" s="1"/>
  <c r="K80" i="10"/>
  <c r="K9" i="11" s="1"/>
  <c r="K51" i="10"/>
  <c r="J110" i="13" l="1"/>
  <c r="E7" i="12"/>
  <c r="E8" i="12" s="1"/>
  <c r="D11" i="12"/>
  <c r="D17" i="12" s="1"/>
  <c r="F7" i="12"/>
  <c r="M11" i="10"/>
  <c r="J19" i="11"/>
  <c r="J20" i="11" s="1"/>
  <c r="D27" i="12" s="1"/>
  <c r="M83" i="13"/>
  <c r="M100" i="13"/>
  <c r="M19" i="10" s="1"/>
  <c r="M20" i="10" s="1"/>
  <c r="L101" i="13"/>
  <c r="L107" i="13"/>
  <c r="L108" i="13"/>
  <c r="L109" i="13"/>
  <c r="O87" i="13"/>
  <c r="O97" i="13" s="1"/>
  <c r="O13" i="10" s="1"/>
  <c r="N97" i="13"/>
  <c r="N13" i="10" s="1"/>
  <c r="N14" i="10" s="1"/>
  <c r="M98" i="13"/>
  <c r="N82" i="13"/>
  <c r="N10" i="10" s="1"/>
  <c r="N11" i="10" s="1"/>
  <c r="O57" i="13"/>
  <c r="O82" i="13" s="1"/>
  <c r="O10" i="10" s="1"/>
  <c r="K12" i="11"/>
  <c r="K17" i="11"/>
  <c r="L86" i="10"/>
  <c r="L10" i="11" s="1"/>
  <c r="L80" i="10"/>
  <c r="L9" i="11" s="1"/>
  <c r="L98" i="10"/>
  <c r="L16" i="11" s="1"/>
  <c r="L25" i="10"/>
  <c r="F9" i="12" s="1"/>
  <c r="F11" i="12" s="1"/>
  <c r="L37" i="10"/>
  <c r="F15" i="12" s="1"/>
  <c r="L57" i="10"/>
  <c r="F26" i="12" s="1"/>
  <c r="L43" i="10"/>
  <c r="F25" i="12" s="1"/>
  <c r="L51" i="10"/>
  <c r="L31" i="10"/>
  <c r="F14" i="12" s="1"/>
  <c r="L92" i="10"/>
  <c r="L14" i="11" s="1"/>
  <c r="D12" i="12" l="1"/>
  <c r="E11" i="12"/>
  <c r="E17" i="12" s="1"/>
  <c r="F8" i="12"/>
  <c r="L110" i="13"/>
  <c r="M109" i="13"/>
  <c r="G7" i="12"/>
  <c r="G8" i="12" s="1"/>
  <c r="O14" i="10"/>
  <c r="E12" i="12"/>
  <c r="O11" i="10"/>
  <c r="O83" i="13"/>
  <c r="O100" i="13"/>
  <c r="O19" i="10" s="1"/>
  <c r="N83" i="13"/>
  <c r="N100" i="13"/>
  <c r="N19" i="10" s="1"/>
  <c r="N20" i="10" s="1"/>
  <c r="K19" i="11"/>
  <c r="K20" i="11" s="1"/>
  <c r="E27" i="12" s="1"/>
  <c r="O98" i="13"/>
  <c r="M101" i="13"/>
  <c r="M108" i="13"/>
  <c r="M107" i="13"/>
  <c r="N98" i="13"/>
  <c r="F17" i="12"/>
  <c r="F12" i="12"/>
  <c r="D20" i="12"/>
  <c r="D21" i="12" s="1"/>
  <c r="D18" i="12"/>
  <c r="L12" i="11"/>
  <c r="L17" i="11"/>
  <c r="E20" i="12"/>
  <c r="E21" i="12" s="1"/>
  <c r="E18" i="12"/>
  <c r="M92" i="10"/>
  <c r="M14" i="11" s="1"/>
  <c r="M86" i="10"/>
  <c r="M10" i="11" s="1"/>
  <c r="M25" i="10"/>
  <c r="G9" i="12" s="1"/>
  <c r="G11" i="12" s="1"/>
  <c r="M98" i="10"/>
  <c r="M16" i="11" s="1"/>
  <c r="M80" i="10"/>
  <c r="M9" i="11" s="1"/>
  <c r="M43" i="10"/>
  <c r="G25" i="12" s="1"/>
  <c r="M37" i="10"/>
  <c r="G15" i="12" s="1"/>
  <c r="M57" i="10"/>
  <c r="G26" i="12" s="1"/>
  <c r="M51" i="10"/>
  <c r="M31" i="10"/>
  <c r="G14" i="12" s="1"/>
  <c r="D22" i="12" l="1"/>
  <c r="D23" i="12" s="1"/>
  <c r="M110" i="13"/>
  <c r="O20" i="10"/>
  <c r="I7" i="12"/>
  <c r="H7" i="12"/>
  <c r="H8" i="12" s="1"/>
  <c r="N108" i="13"/>
  <c r="N101" i="13"/>
  <c r="N107" i="13"/>
  <c r="N109" i="13"/>
  <c r="O108" i="13"/>
  <c r="O107" i="13"/>
  <c r="O101" i="13"/>
  <c r="O109" i="13"/>
  <c r="L19" i="11"/>
  <c r="L20" i="11" s="1"/>
  <c r="F27" i="12" s="1"/>
  <c r="E22" i="12"/>
  <c r="E23" i="12" s="1"/>
  <c r="M12" i="11"/>
  <c r="G17" i="12"/>
  <c r="G12" i="12"/>
  <c r="F18" i="12"/>
  <c r="F20" i="12"/>
  <c r="F21" i="12" s="1"/>
  <c r="M17" i="11"/>
  <c r="O86" i="10"/>
  <c r="O10" i="11" s="1"/>
  <c r="O80" i="10"/>
  <c r="O9" i="11" s="1"/>
  <c r="O25" i="10"/>
  <c r="I9" i="12" s="1"/>
  <c r="I11" i="12" s="1"/>
  <c r="O31" i="10"/>
  <c r="I14" i="12" s="1"/>
  <c r="O43" i="10"/>
  <c r="I25" i="12" s="1"/>
  <c r="O92" i="10"/>
  <c r="O14" i="11" s="1"/>
  <c r="O51" i="10"/>
  <c r="O98" i="10"/>
  <c r="O16" i="11" s="1"/>
  <c r="O37" i="10"/>
  <c r="I15" i="12" s="1"/>
  <c r="O57" i="10"/>
  <c r="I26" i="12" s="1"/>
  <c r="N51" i="10"/>
  <c r="N92" i="10"/>
  <c r="N14" i="11" s="1"/>
  <c r="N37" i="10"/>
  <c r="H15" i="12" s="1"/>
  <c r="N57" i="10"/>
  <c r="H26" i="12" s="1"/>
  <c r="N31" i="10"/>
  <c r="H14" i="12" s="1"/>
  <c r="N80" i="10"/>
  <c r="N9" i="11" s="1"/>
  <c r="N25" i="10"/>
  <c r="H9" i="12" s="1"/>
  <c r="H11" i="12" s="1"/>
  <c r="N86" i="10"/>
  <c r="N10" i="11" s="1"/>
  <c r="N43" i="10"/>
  <c r="H25" i="12" s="1"/>
  <c r="N98" i="10"/>
  <c r="N16" i="11" s="1"/>
  <c r="O110" i="13" l="1"/>
  <c r="N110" i="13"/>
  <c r="D28" i="12"/>
  <c r="D29" i="12" s="1"/>
  <c r="I8" i="12"/>
  <c r="M19" i="11"/>
  <c r="M20" i="11" s="1"/>
  <c r="G27" i="12" s="1"/>
  <c r="N17" i="11"/>
  <c r="E28" i="12"/>
  <c r="E34" i="12" s="1"/>
  <c r="F22" i="12"/>
  <c r="F28" i="12" s="1"/>
  <c r="I17" i="12"/>
  <c r="I12" i="12"/>
  <c r="O17" i="11"/>
  <c r="H17" i="12"/>
  <c r="H12" i="12"/>
  <c r="G20" i="12"/>
  <c r="G21" i="12" s="1"/>
  <c r="G18" i="12"/>
  <c r="O12" i="11"/>
  <c r="N12" i="11"/>
  <c r="D34" i="12" l="1"/>
  <c r="E29" i="12"/>
  <c r="O19" i="11"/>
  <c r="N19" i="11"/>
  <c r="N20" i="11" s="1"/>
  <c r="H27" i="12" s="1"/>
  <c r="F23" i="12"/>
  <c r="G22" i="12"/>
  <c r="G23" i="12" s="1"/>
  <c r="I18" i="12"/>
  <c r="M6" i="12"/>
  <c r="M8" i="12" s="1"/>
  <c r="I20" i="12"/>
  <c r="I21" i="12" s="1"/>
  <c r="H20" i="12"/>
  <c r="H21" i="12" s="1"/>
  <c r="H18" i="12"/>
  <c r="F29" i="12"/>
  <c r="F34" i="12"/>
  <c r="O20" i="11" l="1"/>
  <c r="I27" i="12" s="1"/>
  <c r="M10" i="12"/>
  <c r="G28" i="12"/>
  <c r="G29" i="12" s="1"/>
  <c r="I22" i="12"/>
  <c r="H22" i="12"/>
  <c r="G34" i="12" l="1"/>
  <c r="H23" i="12"/>
  <c r="H28" i="12"/>
  <c r="I23" i="12"/>
  <c r="I28" i="12"/>
  <c r="M13" i="12" s="1"/>
  <c r="I46" i="12" l="1"/>
  <c r="E48" i="12"/>
  <c r="C48" i="12"/>
  <c r="I45" i="12"/>
  <c r="C47" i="12"/>
  <c r="E44" i="12"/>
  <c r="G43" i="12"/>
  <c r="H43" i="12"/>
  <c r="F45" i="12"/>
  <c r="I49" i="12"/>
  <c r="H49" i="12"/>
  <c r="I44" i="12"/>
  <c r="D48" i="12"/>
  <c r="H47" i="12"/>
  <c r="C46" i="12"/>
  <c r="C43" i="12"/>
  <c r="D47" i="12"/>
  <c r="F43" i="12"/>
  <c r="G48" i="12"/>
  <c r="H48" i="12"/>
  <c r="G44" i="12"/>
  <c r="I47" i="12"/>
  <c r="D43" i="12"/>
  <c r="E45" i="12"/>
  <c r="D44" i="12"/>
  <c r="D45" i="12"/>
  <c r="C49" i="12"/>
  <c r="E47" i="12"/>
  <c r="E43" i="12"/>
  <c r="G45" i="12"/>
  <c r="I43" i="12"/>
  <c r="F46" i="12"/>
  <c r="G46" i="12"/>
  <c r="H45" i="12"/>
  <c r="E49" i="12"/>
  <c r="C45" i="12"/>
  <c r="F49" i="12"/>
  <c r="D49" i="12"/>
  <c r="G49" i="12"/>
  <c r="F48" i="12"/>
  <c r="H44" i="12"/>
  <c r="G47" i="12"/>
  <c r="F47" i="12"/>
  <c r="E46" i="12"/>
  <c r="D46" i="12"/>
  <c r="F44" i="12"/>
  <c r="I48" i="12"/>
  <c r="H46" i="12"/>
  <c r="C44" i="12"/>
  <c r="I34" i="12"/>
  <c r="I29" i="12"/>
  <c r="H29" i="12"/>
  <c r="H34" i="12"/>
  <c r="I36" i="12" l="1"/>
  <c r="M11" i="12" s="1"/>
  <c r="M12" i="12" s="1"/>
  <c r="M16" i="12" s="1"/>
  <c r="M18" i="12" s="1"/>
  <c r="M19" i="12" s="1"/>
  <c r="D48" i="3" l="1"/>
  <c r="E48" i="3"/>
  <c r="F48" i="3"/>
  <c r="G48" i="3"/>
  <c r="H48" i="3"/>
  <c r="I48" i="3"/>
  <c r="C48" i="3"/>
  <c r="D38" i="2"/>
  <c r="D46" i="2" s="1"/>
  <c r="E38" i="2"/>
  <c r="E46" i="2" s="1"/>
  <c r="F38" i="2"/>
  <c r="F46" i="2" s="1"/>
  <c r="G38" i="2"/>
  <c r="G46" i="2" s="1"/>
  <c r="H38" i="2"/>
  <c r="H46" i="2" s="1"/>
  <c r="I38" i="2"/>
  <c r="I46" i="2" s="1"/>
  <c r="C38" i="2"/>
  <c r="C46" i="2" s="1"/>
  <c r="D23" i="2"/>
  <c r="D48" i="2" s="1"/>
  <c r="E23" i="2"/>
  <c r="F23" i="2"/>
  <c r="G23" i="2"/>
  <c r="H23" i="2"/>
  <c r="I23" i="2"/>
  <c r="C23" i="2"/>
  <c r="D43" i="3"/>
  <c r="E43" i="3"/>
  <c r="F43" i="3"/>
  <c r="G43" i="3"/>
  <c r="H43" i="3"/>
  <c r="I43" i="3"/>
  <c r="C43" i="3"/>
  <c r="D32" i="3"/>
  <c r="E32" i="3"/>
  <c r="F32" i="3"/>
  <c r="G32" i="3"/>
  <c r="H32" i="3"/>
  <c r="I32" i="3"/>
  <c r="C32" i="3"/>
  <c r="D27" i="1"/>
  <c r="E27" i="1"/>
  <c r="F27" i="1"/>
  <c r="G27" i="1"/>
  <c r="H27" i="1"/>
  <c r="I27" i="1"/>
  <c r="C27" i="1"/>
  <c r="D20" i="1"/>
  <c r="E20" i="1"/>
  <c r="F20" i="1"/>
  <c r="G20" i="1"/>
  <c r="H20" i="1"/>
  <c r="I20" i="1"/>
  <c r="C20" i="1"/>
  <c r="D11" i="1"/>
  <c r="E11" i="1"/>
  <c r="F11" i="1"/>
  <c r="G11" i="1"/>
  <c r="H11" i="1"/>
  <c r="I11" i="1"/>
  <c r="C11" i="1"/>
  <c r="C13" i="1" l="1"/>
  <c r="E13" i="1"/>
  <c r="F13" i="1"/>
  <c r="D13" i="1"/>
  <c r="D22" i="1" s="1"/>
  <c r="I13" i="1"/>
  <c r="I22" i="1" s="1"/>
  <c r="I29" i="1" s="1"/>
  <c r="H13" i="1"/>
  <c r="H22" i="1" s="1"/>
  <c r="H44" i="1" s="1"/>
  <c r="G13" i="1"/>
  <c r="G22" i="1" s="1"/>
  <c r="G29" i="1" s="1"/>
  <c r="I48" i="2"/>
  <c r="C48" i="2"/>
  <c r="G48" i="2"/>
  <c r="F48" i="2"/>
  <c r="H48" i="2"/>
  <c r="E48" i="2"/>
  <c r="C22" i="1"/>
  <c r="C29" i="1" s="1"/>
  <c r="F22" i="1"/>
  <c r="F44" i="1" s="1"/>
  <c r="E22" i="1"/>
  <c r="E44" i="1" s="1"/>
  <c r="E29" i="1"/>
  <c r="G20" i="10" l="1"/>
  <c r="G52" i="10"/>
  <c r="G44" i="10"/>
  <c r="G58" i="10"/>
  <c r="G32" i="10"/>
  <c r="G81" i="10"/>
  <c r="G26" i="10"/>
  <c r="G99" i="10"/>
  <c r="G87" i="10"/>
  <c r="G38" i="10"/>
  <c r="G93" i="10"/>
  <c r="D20" i="10"/>
  <c r="D32" i="10"/>
  <c r="D99" i="10"/>
  <c r="D81" i="10"/>
  <c r="D58" i="10"/>
  <c r="D52" i="10"/>
  <c r="D26" i="10"/>
  <c r="D93" i="10"/>
  <c r="D38" i="10"/>
  <c r="D44" i="10"/>
  <c r="D87" i="10"/>
  <c r="E20" i="10"/>
  <c r="E81" i="10"/>
  <c r="E99" i="10"/>
  <c r="E26" i="10"/>
  <c r="E52" i="10"/>
  <c r="E32" i="10"/>
  <c r="E87" i="10"/>
  <c r="E58" i="10"/>
  <c r="E44" i="10"/>
  <c r="E38" i="10"/>
  <c r="E93" i="10"/>
  <c r="I20" i="10"/>
  <c r="I58" i="10"/>
  <c r="I87" i="10"/>
  <c r="I93" i="10"/>
  <c r="I52" i="10"/>
  <c r="I26" i="10"/>
  <c r="C7" i="12"/>
  <c r="I44" i="10"/>
  <c r="I38" i="10"/>
  <c r="I32" i="10"/>
  <c r="I81" i="10"/>
  <c r="I99" i="10"/>
  <c r="J20" i="10"/>
  <c r="C99" i="10"/>
  <c r="C26" i="10"/>
  <c r="C87" i="10"/>
  <c r="C81" i="10"/>
  <c r="C32" i="10"/>
  <c r="C93" i="10"/>
  <c r="C44" i="10"/>
  <c r="C38" i="10"/>
  <c r="C58" i="10"/>
  <c r="C52" i="10"/>
  <c r="H20" i="10"/>
  <c r="H81" i="10"/>
  <c r="H52" i="10"/>
  <c r="H44" i="10"/>
  <c r="H38" i="10"/>
  <c r="H87" i="10"/>
  <c r="H99" i="10"/>
  <c r="H58" i="10"/>
  <c r="H93" i="10"/>
  <c r="H26" i="10"/>
  <c r="H32" i="10"/>
  <c r="F20" i="10"/>
  <c r="F44" i="10"/>
  <c r="F52" i="10"/>
  <c r="F38" i="10"/>
  <c r="F93" i="10"/>
  <c r="F99" i="10"/>
  <c r="F26" i="10"/>
  <c r="F32" i="10"/>
  <c r="F58" i="10"/>
  <c r="F81" i="10"/>
  <c r="F87" i="10"/>
  <c r="D29" i="1"/>
  <c r="D31" i="1" s="1"/>
  <c r="D9" i="3" s="1"/>
  <c r="D24" i="3" s="1"/>
  <c r="D44" i="3" s="1"/>
  <c r="D45" i="3" s="1"/>
  <c r="D44" i="1"/>
  <c r="I107" i="13"/>
  <c r="I109" i="13"/>
  <c r="I108" i="13"/>
  <c r="I101" i="13"/>
  <c r="J101" i="13"/>
  <c r="G109" i="13"/>
  <c r="G108" i="13"/>
  <c r="G107" i="13"/>
  <c r="G101" i="13"/>
  <c r="F107" i="13"/>
  <c r="F108" i="13"/>
  <c r="F109" i="13"/>
  <c r="F101" i="13"/>
  <c r="H109" i="13"/>
  <c r="H107" i="13"/>
  <c r="H101" i="13"/>
  <c r="H108" i="13"/>
  <c r="D109" i="13"/>
  <c r="D108" i="13"/>
  <c r="D107" i="13"/>
  <c r="D101" i="13"/>
  <c r="E107" i="13"/>
  <c r="E108" i="13"/>
  <c r="E109" i="13"/>
  <c r="E101" i="13"/>
  <c r="C109" i="13"/>
  <c r="C107" i="13"/>
  <c r="C108" i="13"/>
  <c r="G31" i="1"/>
  <c r="G9" i="3" s="1"/>
  <c r="G24" i="3" s="1"/>
  <c r="G44" i="3" s="1"/>
  <c r="G45" i="3" s="1"/>
  <c r="G73" i="10"/>
  <c r="E31" i="1"/>
  <c r="E9" i="3" s="1"/>
  <c r="E24" i="3" s="1"/>
  <c r="E44" i="3" s="1"/>
  <c r="E45" i="3" s="1"/>
  <c r="E73" i="10"/>
  <c r="I31" i="1"/>
  <c r="I9" i="3" s="1"/>
  <c r="I24" i="3" s="1"/>
  <c r="I44" i="3" s="1"/>
  <c r="I45" i="3" s="1"/>
  <c r="I73" i="10"/>
  <c r="C31" i="1"/>
  <c r="C9" i="3" s="1"/>
  <c r="C24" i="3" s="1"/>
  <c r="C44" i="3" s="1"/>
  <c r="C45" i="3" s="1"/>
  <c r="C73" i="10"/>
  <c r="H29" i="1"/>
  <c r="F29" i="1"/>
  <c r="G44" i="1"/>
  <c r="C44" i="1"/>
  <c r="I44" i="1"/>
  <c r="E110" i="13" l="1"/>
  <c r="F110" i="13"/>
  <c r="G110" i="13"/>
  <c r="D110" i="13"/>
  <c r="C110" i="13"/>
  <c r="I110" i="13"/>
  <c r="H110" i="13"/>
  <c r="D73" i="10"/>
  <c r="C11" i="12"/>
  <c r="D8" i="12"/>
  <c r="F31" i="1"/>
  <c r="F9" i="3" s="1"/>
  <c r="F24" i="3" s="1"/>
  <c r="F44" i="3" s="1"/>
  <c r="F45" i="3" s="1"/>
  <c r="F73" i="10"/>
  <c r="H31" i="1"/>
  <c r="H9" i="3" s="1"/>
  <c r="H24" i="3" s="1"/>
  <c r="H73" i="10"/>
  <c r="C12" i="12" l="1"/>
  <c r="C17" i="12"/>
  <c r="H44" i="3"/>
  <c r="H45" i="3" s="1"/>
  <c r="C18" i="12" l="1"/>
  <c r="C20" i="12"/>
  <c r="C21" i="12" s="1"/>
  <c r="C22" i="12"/>
  <c r="C23" i="12" l="1"/>
  <c r="C28" i="12"/>
  <c r="C2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 p</author>
  </authors>
  <commentList>
    <comment ref="F6" authorId="0" shapeId="0" xr:uid="{9F628B4A-1C8B-4036-9493-A0FB8387FCCC}">
      <text>
        <r>
          <rPr>
            <sz val="9"/>
            <color indexed="81"/>
            <rFont val="Tahoma"/>
            <family val="2"/>
          </rPr>
          <t>Please select the correspoding scenario you wish to see calculated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tc={B690EECE-5048-44BB-AC18-D58AC8DCC1E5}</author>
  </authors>
  <commentList>
    <comment ref="B102" authorId="0" shapeId="0" xr:uid="{B690EECE-5048-44BB-AC18-D58AC8DCC1E5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The IS data was sourced from LSEG (Refinitiv), which recalendarizes Broadcom's non-standard fiscal year (ending early November) to align with calendar year periods. Broadcom's official FY2024 (ended Nov 3, 2024) reported $51.6B total revenue vs. LSEG's $47.4B for the same label year. The Revenue Build segment inputs use Broadcom's own fiscal year convention from earnings calls and 10-K filings, which is why the segment build-up exceeds the LSEG-sourced IS total for FY2024 and FY2025.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tc={56508E01-7E65-4D7E-AF1E-30707E3F5BCF}</author>
  </authors>
  <commentList>
    <comment ref="B4" authorId="0" shapeId="0" xr:uid="{56508E01-7E65-4D7E-AF1E-30707E3F5BCF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Financial data sourced from LSEG (Refinitiv). LSEG recalendarizes Broadcom's fiscal year (which ends on the Sunday closest to Oct 31) to calendar year periods. As a result, figures may differ from Broadcom's 10-K reported totals. For example, Broadcom's official FY2024 total revenue was $51.6B vs. $47.4B shown here. The Revenue Build sheet uses Broadcom's own fiscal year convention.</t>
      </text>
    </comment>
  </commentList>
</comments>
</file>

<file path=xl/sharedStrings.xml><?xml version="1.0" encoding="utf-8"?>
<sst xmlns="http://schemas.openxmlformats.org/spreadsheetml/2006/main" count="442" uniqueCount="260">
  <si>
    <t>Broadcom Inc (AVGO.O)</t>
  </si>
  <si>
    <t>Income Statement</t>
  </si>
  <si>
    <t>USD in Millions</t>
  </si>
  <si>
    <t>Historical Periods</t>
  </si>
  <si>
    <t xml:space="preserve">  Product Revenue</t>
  </si>
  <si>
    <t xml:space="preserve">  Subscriptions &amp; Services Revenue</t>
  </si>
  <si>
    <t>Total Revenue</t>
  </si>
  <si>
    <t>Cost of Revenue</t>
  </si>
  <si>
    <t>Gross Profit</t>
  </si>
  <si>
    <t>Operating Expenses</t>
  </si>
  <si>
    <t xml:space="preserve">  Research &amp; Development</t>
  </si>
  <si>
    <t xml:space="preserve">  Selling, General &amp; Administrative</t>
  </si>
  <si>
    <t xml:space="preserve">  Amortization of Intangibles</t>
  </si>
  <si>
    <t xml:space="preserve">  Restructuring &amp; Other Charges</t>
  </si>
  <si>
    <t>Total Operating Expenses</t>
  </si>
  <si>
    <t>Operating Income</t>
  </si>
  <si>
    <t>Other Income / (Expense)</t>
  </si>
  <si>
    <t xml:space="preserve">  Interest Expense</t>
  </si>
  <si>
    <t xml:space="preserve">  Other Income (Expense), Net</t>
  </si>
  <si>
    <t>Total Other Income / (Expense)</t>
  </si>
  <si>
    <t>Income Before Income Taxes</t>
  </si>
  <si>
    <t>Income Tax Provision</t>
  </si>
  <si>
    <t>Net Income</t>
  </si>
  <si>
    <t>Earnings Per Share</t>
  </si>
  <si>
    <t xml:space="preserve">  Basic EPS</t>
  </si>
  <si>
    <t xml:space="preserve">  Diluted EPS</t>
  </si>
  <si>
    <t>Shares Outstanding</t>
  </si>
  <si>
    <t xml:space="preserve">  Basic (millions)</t>
  </si>
  <si>
    <t xml:space="preserve">  Diluted (millions)</t>
  </si>
  <si>
    <t>Supplemental</t>
  </si>
  <si>
    <t xml:space="preserve">  Depreciation &amp; Amortization</t>
  </si>
  <si>
    <t xml:space="preserve">  Stock-Based Compensation</t>
  </si>
  <si>
    <t xml:space="preserve">  EBITDA</t>
  </si>
  <si>
    <t>Balance Sheet</t>
  </si>
  <si>
    <t>ASSETS</t>
  </si>
  <si>
    <t>Current Assets</t>
  </si>
  <si>
    <t xml:space="preserve">  Cash &amp; Cash Equivalents</t>
  </si>
  <si>
    <t xml:space="preserve">  Trade Accounts Receivable, Net</t>
  </si>
  <si>
    <t xml:space="preserve">  Inventory</t>
  </si>
  <si>
    <t xml:space="preserve">  Other Current Assets</t>
  </si>
  <si>
    <t>Total Current Assets</t>
  </si>
  <si>
    <t>Non-Current Assets</t>
  </si>
  <si>
    <t xml:space="preserve">  Property, Plant &amp; Equipment, Net</t>
  </si>
  <si>
    <t xml:space="preserve">  Goodwill</t>
  </si>
  <si>
    <t xml:space="preserve">  Intangible Assets, Net</t>
  </si>
  <si>
    <t xml:space="preserve">  Other Non-Current Assets</t>
  </si>
  <si>
    <t>Total Non-Current Assets</t>
  </si>
  <si>
    <t>Total Assets</t>
  </si>
  <si>
    <t>LIABILITIES &amp; EQUITY</t>
  </si>
  <si>
    <t>Current Liabilities</t>
  </si>
  <si>
    <t xml:space="preserve">  Accounts Payable</t>
  </si>
  <si>
    <t xml:space="preserve">  Employee Compensation &amp; Benefits</t>
  </si>
  <si>
    <t xml:space="preserve">  Short-Term Debt</t>
  </si>
  <si>
    <t xml:space="preserve">  Other Current Liabilities</t>
  </si>
  <si>
    <t>Total Current Liabilities</t>
  </si>
  <si>
    <t>Non-Current Liabilities</t>
  </si>
  <si>
    <t xml:space="preserve">  Long-Term Debt</t>
  </si>
  <si>
    <t xml:space="preserve">  Other Non-Current Liabilities</t>
  </si>
  <si>
    <t>Total Non-Current Liabilities</t>
  </si>
  <si>
    <t>Total Liabilities</t>
  </si>
  <si>
    <t>Stockholders' Equity</t>
  </si>
  <si>
    <t xml:space="preserve">  Common Stock &amp; Additional Paid-In Capital</t>
  </si>
  <si>
    <t xml:space="preserve">  Retained Earnings</t>
  </si>
  <si>
    <t xml:space="preserve">  Accumulated Other Comprehensive Income (Loss)</t>
  </si>
  <si>
    <t>Total Stockholders' Equity</t>
  </si>
  <si>
    <t>Total Liabilities &amp; Equity</t>
  </si>
  <si>
    <t>Balance Check</t>
  </si>
  <si>
    <t>Cash Flow Statement</t>
  </si>
  <si>
    <t>Cash Flows from Operating Activities</t>
  </si>
  <si>
    <t xml:space="preserve">  Net Income</t>
  </si>
  <si>
    <t xml:space="preserve">  Adjustments to Reconcile Net Income:</t>
  </si>
  <si>
    <t xml:space="preserve">    Amortization of Intangibles</t>
  </si>
  <si>
    <t xml:space="preserve">    Depreciation</t>
  </si>
  <si>
    <t xml:space="preserve">    Stock-Based Compensation</t>
  </si>
  <si>
    <t xml:space="preserve">    Deferred Taxes &amp; Other Non-Cash</t>
  </si>
  <si>
    <t xml:space="preserve">    Non-Cash Interest &amp; Debt Loss</t>
  </si>
  <si>
    <t xml:space="preserve">    Other Non-Cash Items</t>
  </si>
  <si>
    <t xml:space="preserve">  Changes in Working Capital:</t>
  </si>
  <si>
    <t xml:space="preserve">    Trade Accounts Receivable</t>
  </si>
  <si>
    <t xml:space="preserve">    Inventory</t>
  </si>
  <si>
    <t xml:space="preserve">    Accounts Payable</t>
  </si>
  <si>
    <t xml:space="preserve">    Employee Compensation &amp; Benefits</t>
  </si>
  <si>
    <t xml:space="preserve">    Other Current Assets &amp; Liabilities</t>
  </si>
  <si>
    <t xml:space="preserve">    Other Long-Term Assets &amp; Liabilities</t>
  </si>
  <si>
    <t>Net Cash from Operating Activities</t>
  </si>
  <si>
    <t>Cash Flows from Investing Activities</t>
  </si>
  <si>
    <t xml:space="preserve">  Acquisitions, Net of Cash</t>
  </si>
  <si>
    <t xml:space="preserve">  Proceeds from Sales of Businesses</t>
  </si>
  <si>
    <t xml:space="preserve">  Purchases of Property &amp; Equipment</t>
  </si>
  <si>
    <t xml:space="preserve">  Sales / (Purchases) of Investments, Net</t>
  </si>
  <si>
    <t xml:space="preserve">  Other Investing Activities</t>
  </si>
  <si>
    <t>Net Cash from Investing Activities</t>
  </si>
  <si>
    <t>Cash Flows from Financing Activities</t>
  </si>
  <si>
    <t xml:space="preserve">  Proceeds from Long-Term Borrowings</t>
  </si>
  <si>
    <t xml:space="preserve">  Repayments of Debt</t>
  </si>
  <si>
    <t xml:space="preserve">  Other Borrowings, Net</t>
  </si>
  <si>
    <t xml:space="preserve">  Proceeds from Stock Issuance</t>
  </si>
  <si>
    <t xml:space="preserve">  Share Repurchases</t>
  </si>
  <si>
    <t xml:space="preserve">  Tax Withholding on Equity Vesting</t>
  </si>
  <si>
    <t xml:space="preserve">  Dividends Paid</t>
  </si>
  <si>
    <t xml:space="preserve">  Other Financing Activities</t>
  </si>
  <si>
    <t>Net Cash from Financing Activities</t>
  </si>
  <si>
    <t>Net Change in Cash</t>
  </si>
  <si>
    <t>Cash at Beginning of Period</t>
  </si>
  <si>
    <t>Cash at End of Period</t>
  </si>
  <si>
    <t>Supplemental Cash Flow Information</t>
  </si>
  <si>
    <t xml:space="preserve">  Cash Paid for Interest</t>
  </si>
  <si>
    <t xml:space="preserve">  Cash Paid for Income Taxes</t>
  </si>
  <si>
    <t>Effect of FX on Cash</t>
  </si>
  <si>
    <t>Sipher Street</t>
  </si>
  <si>
    <t>Analyst: Bhavya Patel</t>
  </si>
  <si>
    <t>Operating Case Scenarios</t>
  </si>
  <si>
    <t>Operating Case</t>
  </si>
  <si>
    <t>Bear</t>
  </si>
  <si>
    <t>Base</t>
  </si>
  <si>
    <t>Bull</t>
  </si>
  <si>
    <t>Ticker</t>
  </si>
  <si>
    <t>Dsiplay Name</t>
  </si>
  <si>
    <t>Valuation Date</t>
  </si>
  <si>
    <t>Shares Outstanding (M)</t>
  </si>
  <si>
    <t>Broadcom Inc.</t>
  </si>
  <si>
    <t>NASDAQ: AVGO</t>
  </si>
  <si>
    <t>BROADCOM INC</t>
  </si>
  <si>
    <t>17.03.2026</t>
  </si>
  <si>
    <t>Weighted Average Cost of Capital</t>
  </si>
  <si>
    <t>USD in millions, unless otherwise stated</t>
  </si>
  <si>
    <t>Inputs</t>
  </si>
  <si>
    <t>Cost of Debt Calculation</t>
  </si>
  <si>
    <t>Risk-Free Rate</t>
  </si>
  <si>
    <t>Equity Risk Premium</t>
  </si>
  <si>
    <t>Beta</t>
  </si>
  <si>
    <t>Credit Spread on A/A3 Rating</t>
  </si>
  <si>
    <t>Effective Tax Rate</t>
  </si>
  <si>
    <t>Pre-Tax Cost of Debt</t>
  </si>
  <si>
    <t>Current Share Price ($ not in mm)</t>
  </si>
  <si>
    <t>Diluted Shares Outstanding (mm)</t>
  </si>
  <si>
    <t>After-Tax Cost of Debt</t>
  </si>
  <si>
    <t>Market Value of Debt</t>
  </si>
  <si>
    <t>Cost of Equity Calculation</t>
  </si>
  <si>
    <t>Cost of Equity</t>
  </si>
  <si>
    <t>Weighted Average Cost of Capital Calculation</t>
  </si>
  <si>
    <t>Total Value</t>
  </si>
  <si>
    <t>%</t>
  </si>
  <si>
    <t>Cost</t>
  </si>
  <si>
    <t>Market Value of Equity</t>
  </si>
  <si>
    <t>Total</t>
  </si>
  <si>
    <t>Broadcom Share Price ($)</t>
  </si>
  <si>
    <t>Metrics &amp; Drivers</t>
  </si>
  <si>
    <t>Active Case:</t>
  </si>
  <si>
    <t>For Fiscal Year Ending</t>
  </si>
  <si>
    <t>2020A</t>
  </si>
  <si>
    <t>2021A</t>
  </si>
  <si>
    <t>2022A</t>
  </si>
  <si>
    <t>2023A</t>
  </si>
  <si>
    <t>2024A</t>
  </si>
  <si>
    <t>2025A</t>
  </si>
  <si>
    <t>2026E</t>
  </si>
  <si>
    <t>2027E</t>
  </si>
  <si>
    <t>2028E</t>
  </si>
  <si>
    <t>2029E</t>
  </si>
  <si>
    <t>2030E</t>
  </si>
  <si>
    <t>2031E</t>
  </si>
  <si>
    <t>% growth</t>
  </si>
  <si>
    <t>Costs &amp; Margins:</t>
  </si>
  <si>
    <t>% revenue</t>
  </si>
  <si>
    <t>Research &amp; Development</t>
  </si>
  <si>
    <t>Selling, General &amp; Administrative</t>
  </si>
  <si>
    <t>Depreciation &amp; Amortization</t>
  </si>
  <si>
    <t>Other Operating Items:</t>
  </si>
  <si>
    <t>Stock-Based Compensation</t>
  </si>
  <si>
    <t>Capital Expenditures</t>
  </si>
  <si>
    <t>Other Income / Expense:</t>
  </si>
  <si>
    <t>Interest Expense</t>
  </si>
  <si>
    <t>Taxes:</t>
  </si>
  <si>
    <t>Historical rate</t>
  </si>
  <si>
    <t>NWC Drivers (% of Revenue)</t>
  </si>
  <si>
    <t>Trade Accounts Receivable</t>
  </si>
  <si>
    <t>Inventory</t>
  </si>
  <si>
    <t>Accounts Payable</t>
  </si>
  <si>
    <t>Other Current Liabilities</t>
  </si>
  <si>
    <t>Net Working Capital</t>
  </si>
  <si>
    <t>Projected Periods</t>
  </si>
  <si>
    <t>Total Current Operating Assets</t>
  </si>
  <si>
    <t>Total Current Operating Liabilities</t>
  </si>
  <si>
    <t>Change in NWC</t>
  </si>
  <si>
    <t>2019A</t>
  </si>
  <si>
    <t>Discounted Cash Flow Analysis</t>
  </si>
  <si>
    <t>Exit Multiple Method</t>
  </si>
  <si>
    <t>Total Revenues</t>
  </si>
  <si>
    <t>% margin</t>
  </si>
  <si>
    <t>EBIT</t>
  </si>
  <si>
    <t>Taxes</t>
  </si>
  <si>
    <t>% effective tax rate</t>
  </si>
  <si>
    <t>NOPAT</t>
  </si>
  <si>
    <t>(+) D&amp;A</t>
  </si>
  <si>
    <t>(-) CapEx</t>
  </si>
  <si>
    <t>(-) Change in NWC</t>
  </si>
  <si>
    <t>Unlevered Free Cash Flow (UFCF)</t>
  </si>
  <si>
    <t>WACC:</t>
  </si>
  <si>
    <t>Discount Period</t>
  </si>
  <si>
    <t>Discount Factor</t>
  </si>
  <si>
    <t>Present Value of UFCF</t>
  </si>
  <si>
    <t>Sum of Present Value Cash Flows</t>
  </si>
  <si>
    <t>2031E EBITDA</t>
  </si>
  <si>
    <t>Terminal Multiple</t>
  </si>
  <si>
    <t>Terminal Value</t>
  </si>
  <si>
    <t>Present Value of Terminal Value</t>
  </si>
  <si>
    <t>Sum of Cash Flows</t>
  </si>
  <si>
    <t>Total Enterprise Value</t>
  </si>
  <si>
    <t>Implied PGR</t>
  </si>
  <si>
    <t>Less: Debt</t>
  </si>
  <si>
    <t>Plus: Cash</t>
  </si>
  <si>
    <t>Total Equity Value</t>
  </si>
  <si>
    <t>Implied Share Price</t>
  </si>
  <si>
    <t>Upside / (Downside)</t>
  </si>
  <si>
    <t>WACC</t>
  </si>
  <si>
    <t>Terminal Value:</t>
  </si>
  <si>
    <t>Exit Multiple (EV/EBITDA)</t>
  </si>
  <si>
    <t>DCF Sensitivity Analysis: Implied Share Price - Exit Multiple Method</t>
  </si>
  <si>
    <t>Exit Multiple</t>
  </si>
  <si>
    <t>Revenue Build</t>
  </si>
  <si>
    <t>Google (TPU: Ironwood → Sunfish → v9)</t>
  </si>
  <si>
    <t xml:space="preserve">  Base</t>
  </si>
  <si>
    <t xml:space="preserve">  Bull</t>
  </si>
  <si>
    <t xml:space="preserve">  Bear</t>
  </si>
  <si>
    <t>Anthropic (1GW FY26 → 3GW FY27)</t>
  </si>
  <si>
    <t>Meta (MTIA — multi-GW in FY27+)</t>
  </si>
  <si>
    <t>OpenAI (Customer #6 — 1st gen XPU, &gt;1GW FY27)</t>
  </si>
  <si>
    <t>Bytedance (Customer #4 est.)</t>
  </si>
  <si>
    <t>Apple (Customer #5 est. — Baltra)</t>
  </si>
  <si>
    <t>Other / Emerging (ARM, xAI, Oracle, etc.)</t>
  </si>
  <si>
    <t>Total AI Custom Compute (XPU)</t>
  </si>
  <si>
    <t>AI Networking % of Total AI Revenue</t>
  </si>
  <si>
    <t>AI Networking Revenue (derived)</t>
  </si>
  <si>
    <t>TOTAL AI SEMICONDUCTOR REVENUE</t>
  </si>
  <si>
    <t xml:space="preserve">  % y/y growth</t>
  </si>
  <si>
    <t>Non-AI Semiconductor Revenue</t>
  </si>
  <si>
    <t>Wireless (Apple-driven, seasonal)</t>
  </si>
  <si>
    <t xml:space="preserve">  % growth</t>
  </si>
  <si>
    <t>Broadband</t>
  </si>
  <si>
    <t>Server Storage Connectivity</t>
  </si>
  <si>
    <t>Industrial &amp; Other</t>
  </si>
  <si>
    <t>Non-AI Networking (Enterprise)</t>
  </si>
  <si>
    <t>TOTAL NON-AI SEMICONDUCTOR REVENUE</t>
  </si>
  <si>
    <t>Infrastructure Software</t>
  </si>
  <si>
    <t>VMware</t>
  </si>
  <si>
    <t>Legacy Broadcom Software</t>
  </si>
  <si>
    <t>TOTAL INFRASTRUCTURE SOFTWARE</t>
  </si>
  <si>
    <t>TOTAL REVENUE</t>
  </si>
  <si>
    <t>Revenue Mix:</t>
  </si>
  <si>
    <t xml:space="preserve">  AI Semi % of Total</t>
  </si>
  <si>
    <t xml:space="preserve">  Non-AI Semi % of Total</t>
  </si>
  <si>
    <t xml:space="preserve">  Infrastructure Software % of Total</t>
  </si>
  <si>
    <t>AI Semiconductor Revenue</t>
  </si>
  <si>
    <t>Infrastructure Software Revenue</t>
  </si>
  <si>
    <t>Total:</t>
  </si>
  <si>
    <t>AI Semiconductor Revenue - Customer Build</t>
  </si>
  <si>
    <t xml:space="preserve">  Reported Total Revenue (per 10-K)</t>
  </si>
  <si>
    <t xml:space="preserve">  Segment Build vs. Reported Δ</t>
  </si>
  <si>
    <t>Broadcom Inc. (AVGO) Financial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</si>
</sst>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;\(#,##0.0\);&quot;—&quot;"/>
    <numFmt numFmtId="165" formatCode="#,##0.0"/>
    <numFmt numFmtId="166" formatCode="#,##0.00;\(#,##0.00\);&quot;—&quot;"/>
    <numFmt numFmtId="167" formatCode="0.00&quot;x&quot;"/>
    <numFmt numFmtId="168" formatCode="#,##0.0;\(#,##0.0\);&quot;-&quot;"/>
    <numFmt numFmtId="169" formatCode="0.0%"/>
    <numFmt numFmtId="170" formatCode="0.0"/>
    <numFmt numFmtId="171" formatCode="0.0&quot;x&quot;"/>
    <numFmt numFmtId="172" formatCode="[$$-409]#,##0.00"/>
  </numFmts>
  <fonts count="37" x14ac:knownFonts="1">
    <font>
      <sz val="12"/>
      <color theme="1"/>
      <name val="Garamond"/>
      <family val="2"/>
    </font>
    <font>
      <sz val="12"/>
      <color theme="1"/>
      <name val="Garamond"/>
      <family val="2"/>
    </font>
    <font>
      <b/>
      <sz val="12"/>
      <color theme="1"/>
      <name val="Garamond"/>
      <family val="2"/>
    </font>
    <font>
      <sz val="12"/>
      <color theme="0"/>
      <name val="Garamond"/>
      <family val="2"/>
    </font>
    <font>
      <sz val="11"/>
      <color theme="1"/>
      <name val="Calibri"/>
    </font>
    <font>
      <b/>
      <sz val="13"/>
      <color theme="1"/>
      <name val="Garamond"/>
    </font>
    <font>
      <sz val="11"/>
      <color theme="1"/>
      <name val="Garamond"/>
    </font>
    <font>
      <b/>
      <sz val="11"/>
      <color theme="1"/>
      <name val="Garamond"/>
    </font>
    <font>
      <sz val="10"/>
      <color theme="1"/>
      <name val="Garamond"/>
    </font>
    <font>
      <b/>
      <sz val="12"/>
      <color theme="1"/>
      <name val="Garamond"/>
    </font>
    <font>
      <sz val="11"/>
      <color rgb="FF0000FF"/>
      <name val="Garamond"/>
    </font>
    <font>
      <b/>
      <sz val="11"/>
      <color rgb="FF000000"/>
      <name val="Garamond"/>
    </font>
    <font>
      <sz val="11"/>
      <color rgb="FF008000"/>
      <name val="Garamond"/>
    </font>
    <font>
      <b/>
      <sz val="11"/>
      <color rgb="FF008000"/>
      <name val="Garamond"/>
    </font>
    <font>
      <sz val="14"/>
      <color theme="1"/>
      <name val="Garamond"/>
      <family val="2"/>
    </font>
    <font>
      <u/>
      <sz val="14"/>
      <color theme="1"/>
      <name val="Garamond"/>
      <family val="2"/>
    </font>
    <font>
      <b/>
      <sz val="18"/>
      <color theme="1"/>
      <name val="Garamond"/>
      <family val="1"/>
    </font>
    <font>
      <sz val="9"/>
      <color indexed="81"/>
      <name val="Tahoma"/>
      <family val="2"/>
    </font>
    <font>
      <b/>
      <sz val="13"/>
      <color rgb="FF000000"/>
      <name val="Garamond"/>
      <family val="1"/>
    </font>
    <font>
      <i/>
      <sz val="10"/>
      <color rgb="FF000000"/>
      <name val="Garamond"/>
      <family val="1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color rgb="FF0000FF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Garamond"/>
      <family val="1"/>
    </font>
    <font>
      <sz val="11"/>
      <color rgb="FF008000"/>
      <name val="Garamond"/>
      <family val="1"/>
    </font>
    <font>
      <b/>
      <sz val="11"/>
      <color theme="1"/>
      <name val="Garamond"/>
      <family val="1"/>
    </font>
    <font>
      <b/>
      <sz val="11"/>
      <color rgb="FF008000"/>
      <name val="Garamond"/>
      <family val="1"/>
    </font>
    <font>
      <b/>
      <sz val="11"/>
      <color rgb="FFFFFFFF"/>
      <name val="Garamond"/>
      <family val="1"/>
    </font>
    <font>
      <sz val="11"/>
      <color rgb="FFFFFFFF"/>
      <name val="Garamond"/>
      <family val="1"/>
    </font>
    <font>
      <sz val="12"/>
      <color rgb="FF000000"/>
      <name val="Garamond"/>
      <family val="2"/>
    </font>
    <font>
      <b/>
      <sz val="12"/>
      <color rgb="FF000000"/>
      <name val="Garamond"/>
      <family val="1"/>
    </font>
    <font>
      <sz val="11"/>
      <color rgb="FF000000"/>
      <name val="Garamond"/>
    </font>
    <font>
      <b/>
      <sz val="11"/>
      <color rgb="FF0000FF"/>
      <name val="Garamond"/>
    </font>
    <font>
      <b/>
      <sz val="12"/>
      <color rgb="FF000000"/>
      <name val="Garamond"/>
    </font>
    <font>
      <b/>
      <sz val="12"/>
      <color rgb="FF008000"/>
      <name val="Garamond"/>
    </font>
    <font>
      <i/>
      <sz val="11"/>
      <color rgb="FF808080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4C6E7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44B3E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9" fillId="5" borderId="2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1" fillId="6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3" fillId="6" borderId="3" xfId="0" applyNumberFormat="1" applyFont="1" applyFill="1" applyBorder="1" applyAlignment="1">
      <alignment horizontal="center"/>
    </xf>
    <xf numFmtId="0" fontId="7" fillId="6" borderId="3" xfId="0" applyFont="1" applyFill="1" applyBorder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/>
    <xf numFmtId="0" fontId="3" fillId="2" borderId="0" xfId="1"/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/>
    <xf numFmtId="0" fontId="0" fillId="0" borderId="3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right"/>
    </xf>
    <xf numFmtId="2" fontId="0" fillId="0" borderId="3" xfId="0" applyNumberForma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2" borderId="4" xfId="1" applyFont="1" applyBorder="1" applyAlignment="1">
      <alignment horizontal="centerContinuous"/>
    </xf>
    <xf numFmtId="0" fontId="20" fillId="2" borderId="3" xfId="1" applyFont="1" applyBorder="1" applyAlignment="1">
      <alignment horizontal="centerContinuous"/>
    </xf>
    <xf numFmtId="0" fontId="20" fillId="2" borderId="6" xfId="1" applyFont="1" applyBorder="1" applyAlignment="1">
      <alignment horizontal="centerContinuous"/>
    </xf>
    <xf numFmtId="0" fontId="20" fillId="2" borderId="7" xfId="1" applyFont="1" applyBorder="1" applyAlignment="1">
      <alignment horizontal="centerContinuous"/>
    </xf>
    <xf numFmtId="0" fontId="21" fillId="7" borderId="4" xfId="0" applyFont="1" applyFill="1" applyBorder="1"/>
    <xf numFmtId="10" fontId="22" fillId="7" borderId="6" xfId="0" applyNumberFormat="1" applyFont="1" applyFill="1" applyBorder="1" applyAlignment="1">
      <alignment horizontal="right"/>
    </xf>
    <xf numFmtId="0" fontId="21" fillId="7" borderId="11" xfId="0" applyFont="1" applyFill="1" applyBorder="1"/>
    <xf numFmtId="10" fontId="22" fillId="7" borderId="12" xfId="0" applyNumberFormat="1" applyFont="1" applyFill="1" applyBorder="1" applyAlignment="1">
      <alignment horizontal="right"/>
    </xf>
    <xf numFmtId="0" fontId="23" fillId="7" borderId="5" xfId="0" applyFont="1" applyFill="1" applyBorder="1"/>
    <xf numFmtId="10" fontId="21" fillId="7" borderId="6" xfId="0" applyNumberFormat="1" applyFont="1" applyFill="1" applyBorder="1" applyAlignment="1">
      <alignment horizontal="right"/>
    </xf>
    <xf numFmtId="167" fontId="22" fillId="7" borderId="12" xfId="0" applyNumberFormat="1" applyFont="1" applyFill="1" applyBorder="1" applyAlignment="1">
      <alignment horizontal="right"/>
    </xf>
    <xf numFmtId="0" fontId="23" fillId="7" borderId="0" xfId="0" applyFont="1" applyFill="1"/>
    <xf numFmtId="0" fontId="24" fillId="7" borderId="11" xfId="0" applyFont="1" applyFill="1" applyBorder="1"/>
    <xf numFmtId="10" fontId="24" fillId="7" borderId="12" xfId="0" applyNumberFormat="1" applyFont="1" applyFill="1" applyBorder="1" applyAlignment="1">
      <alignment horizontal="right"/>
    </xf>
    <xf numFmtId="4" fontId="25" fillId="7" borderId="12" xfId="0" applyNumberFormat="1" applyFont="1" applyFill="1" applyBorder="1" applyAlignment="1">
      <alignment horizontal="right"/>
    </xf>
    <xf numFmtId="10" fontId="21" fillId="7" borderId="12" xfId="0" applyNumberFormat="1" applyFont="1" applyFill="1" applyBorder="1" applyAlignment="1">
      <alignment horizontal="right"/>
    </xf>
    <xf numFmtId="0" fontId="24" fillId="6" borderId="9" xfId="0" applyFont="1" applyFill="1" applyBorder="1"/>
    <xf numFmtId="0" fontId="23" fillId="6" borderId="1" xfId="0" applyFont="1" applyFill="1" applyBorder="1"/>
    <xf numFmtId="10" fontId="24" fillId="6" borderId="10" xfId="0" applyNumberFormat="1" applyFont="1" applyFill="1" applyBorder="1" applyAlignment="1">
      <alignment horizontal="right"/>
    </xf>
    <xf numFmtId="0" fontId="21" fillId="7" borderId="9" xfId="0" applyFont="1" applyFill="1" applyBorder="1"/>
    <xf numFmtId="0" fontId="0" fillId="0" borderId="1" xfId="0" applyBorder="1"/>
    <xf numFmtId="3" fontId="25" fillId="7" borderId="10" xfId="0" applyNumberFormat="1" applyFont="1" applyFill="1" applyBorder="1" applyAlignment="1">
      <alignment horizontal="right"/>
    </xf>
    <xf numFmtId="0" fontId="20" fillId="2" borderId="8" xfId="1" applyFont="1" applyBorder="1" applyAlignment="1">
      <alignment horizontal="centerContinuous"/>
    </xf>
    <xf numFmtId="167" fontId="21" fillId="7" borderId="12" xfId="0" applyNumberFormat="1" applyFont="1" applyFill="1" applyBorder="1" applyAlignment="1">
      <alignment horizontal="right"/>
    </xf>
    <xf numFmtId="0" fontId="20" fillId="2" borderId="4" xfId="1" applyFont="1" applyBorder="1"/>
    <xf numFmtId="0" fontId="20" fillId="2" borderId="3" xfId="1" applyFont="1" applyBorder="1"/>
    <xf numFmtId="0" fontId="20" fillId="2" borderId="5" xfId="1" applyFont="1" applyBorder="1" applyAlignment="1">
      <alignment horizontal="center"/>
    </xf>
    <xf numFmtId="0" fontId="20" fillId="2" borderId="6" xfId="1" applyFont="1" applyBorder="1" applyAlignment="1">
      <alignment horizontal="center"/>
    </xf>
    <xf numFmtId="3" fontId="21" fillId="7" borderId="0" xfId="0" applyNumberFormat="1" applyFont="1" applyFill="1" applyAlignment="1">
      <alignment horizontal="left"/>
    </xf>
    <xf numFmtId="10" fontId="21" fillId="7" borderId="5" xfId="0" applyNumberFormat="1" applyFont="1" applyFill="1" applyBorder="1" applyAlignment="1">
      <alignment horizontal="right"/>
    </xf>
    <xf numFmtId="10" fontId="21" fillId="7" borderId="0" xfId="0" applyNumberFormat="1" applyFont="1" applyFill="1" applyAlignment="1">
      <alignment horizontal="right"/>
    </xf>
    <xf numFmtId="0" fontId="24" fillId="6" borderId="7" xfId="0" applyFont="1" applyFill="1" applyBorder="1"/>
    <xf numFmtId="0" fontId="24" fillId="6" borderId="3" xfId="0" applyFont="1" applyFill="1" applyBorder="1"/>
    <xf numFmtId="3" fontId="24" fillId="6" borderId="3" xfId="0" applyNumberFormat="1" applyFont="1" applyFill="1" applyBorder="1" applyAlignment="1">
      <alignment horizontal="left"/>
    </xf>
    <xf numFmtId="10" fontId="24" fillId="6" borderId="3" xfId="0" applyNumberFormat="1" applyFont="1" applyFill="1" applyBorder="1" applyAlignment="1">
      <alignment horizontal="right"/>
    </xf>
    <xf numFmtId="10" fontId="24" fillId="6" borderId="8" xfId="0" applyNumberFormat="1" applyFont="1" applyFill="1" applyBorder="1" applyAlignment="1">
      <alignment horizontal="right"/>
    </xf>
    <xf numFmtId="0" fontId="23" fillId="0" borderId="0" xfId="0" applyFont="1"/>
    <xf numFmtId="0" fontId="26" fillId="0" borderId="0" xfId="0" applyFont="1"/>
    <xf numFmtId="0" fontId="27" fillId="0" borderId="0" xfId="0" applyFont="1"/>
    <xf numFmtId="1" fontId="26" fillId="5" borderId="2" xfId="0" applyNumberFormat="1" applyFont="1" applyFill="1" applyBorder="1" applyAlignment="1">
      <alignment horizontal="center"/>
    </xf>
    <xf numFmtId="0" fontId="26" fillId="5" borderId="2" xfId="0" applyFont="1" applyFill="1" applyBorder="1" applyAlignment="1">
      <alignment horizontal="center"/>
    </xf>
    <xf numFmtId="0" fontId="26" fillId="6" borderId="5" xfId="0" applyFont="1" applyFill="1" applyBorder="1"/>
    <xf numFmtId="0" fontId="26" fillId="6" borderId="3" xfId="0" applyFont="1" applyFill="1" applyBorder="1"/>
    <xf numFmtId="168" fontId="27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0" borderId="0" xfId="0" applyNumberFormat="1" applyFont="1" applyAlignment="1">
      <alignment horizontal="center"/>
    </xf>
    <xf numFmtId="169" fontId="22" fillId="8" borderId="0" xfId="0" applyNumberFormat="1" applyFont="1" applyFill="1" applyAlignment="1">
      <alignment horizontal="center"/>
    </xf>
    <xf numFmtId="168" fontId="26" fillId="6" borderId="3" xfId="0" applyNumberFormat="1" applyFont="1" applyFill="1" applyBorder="1" applyAlignment="1">
      <alignment horizontal="center"/>
    </xf>
    <xf numFmtId="168" fontId="22" fillId="8" borderId="0" xfId="0" applyNumberFormat="1" applyFont="1" applyFill="1" applyAlignment="1">
      <alignment horizontal="center"/>
    </xf>
    <xf numFmtId="169" fontId="26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0" fontId="28" fillId="9" borderId="0" xfId="0" applyFont="1" applyFill="1"/>
    <xf numFmtId="0" fontId="28" fillId="9" borderId="0" xfId="0" applyFont="1" applyFill="1" applyAlignment="1">
      <alignment horizontal="center"/>
    </xf>
    <xf numFmtId="1" fontId="28" fillId="9" borderId="0" xfId="0" applyNumberFormat="1" applyFont="1" applyFill="1" applyAlignment="1">
      <alignment horizontal="center"/>
    </xf>
    <xf numFmtId="0" fontId="23" fillId="6" borderId="5" xfId="0" applyFont="1" applyFill="1" applyBorder="1"/>
    <xf numFmtId="0" fontId="26" fillId="6" borderId="14" xfId="0" applyFont="1" applyFill="1" applyBorder="1"/>
    <xf numFmtId="168" fontId="25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center"/>
    </xf>
    <xf numFmtId="168" fontId="26" fillId="6" borderId="5" xfId="0" applyNumberFormat="1" applyFont="1" applyFill="1" applyBorder="1" applyAlignment="1">
      <alignment horizontal="center"/>
    </xf>
    <xf numFmtId="0" fontId="23" fillId="6" borderId="14" xfId="0" applyFont="1" applyFill="1" applyBorder="1" applyAlignment="1">
      <alignment horizontal="center"/>
    </xf>
    <xf numFmtId="168" fontId="26" fillId="6" borderId="14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left"/>
    </xf>
    <xf numFmtId="0" fontId="26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1" fontId="28" fillId="9" borderId="16" xfId="0" applyNumberFormat="1" applyFont="1" applyFill="1" applyBorder="1" applyAlignment="1">
      <alignment horizontal="center"/>
    </xf>
    <xf numFmtId="0" fontId="23" fillId="0" borderId="16" xfId="0" applyFont="1" applyBorder="1"/>
    <xf numFmtId="0" fontId="23" fillId="0" borderId="16" xfId="0" applyFont="1" applyBorder="1" applyAlignment="1">
      <alignment horizontal="center"/>
    </xf>
    <xf numFmtId="168" fontId="25" fillId="0" borderId="16" xfId="0" applyNumberFormat="1" applyFont="1" applyBorder="1" applyAlignment="1">
      <alignment horizontal="center"/>
    </xf>
    <xf numFmtId="168" fontId="26" fillId="6" borderId="17" xfId="0" applyNumberFormat="1" applyFont="1" applyFill="1" applyBorder="1" applyAlignment="1">
      <alignment horizontal="center"/>
    </xf>
    <xf numFmtId="168" fontId="26" fillId="6" borderId="18" xfId="0" applyNumberFormat="1" applyFont="1" applyFill="1" applyBorder="1" applyAlignment="1">
      <alignment horizontal="center"/>
    </xf>
    <xf numFmtId="168" fontId="26" fillId="6" borderId="19" xfId="0" applyNumberFormat="1" applyFont="1" applyFill="1" applyBorder="1" applyAlignment="1">
      <alignment horizontal="center"/>
    </xf>
    <xf numFmtId="1" fontId="26" fillId="5" borderId="15" xfId="0" applyNumberFormat="1" applyFont="1" applyFill="1" applyBorder="1" applyAlignment="1">
      <alignment horizontal="center"/>
    </xf>
    <xf numFmtId="168" fontId="27" fillId="0" borderId="16" xfId="0" applyNumberFormat="1" applyFont="1" applyBorder="1" applyAlignment="1">
      <alignment horizontal="center"/>
    </xf>
    <xf numFmtId="169" fontId="23" fillId="0" borderId="16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6" fillId="6" borderId="21" xfId="0" applyFont="1" applyFill="1" applyBorder="1"/>
    <xf numFmtId="165" fontId="27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165" fontId="26" fillId="6" borderId="3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6" fillId="6" borderId="5" xfId="0" applyNumberFormat="1" applyFont="1" applyFill="1" applyBorder="1" applyAlignment="1">
      <alignment horizontal="center"/>
    </xf>
    <xf numFmtId="170" fontId="23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6" borderId="21" xfId="0" applyFont="1" applyFill="1" applyBorder="1" applyAlignment="1">
      <alignment horizontal="center"/>
    </xf>
    <xf numFmtId="165" fontId="26" fillId="6" borderId="21" xfId="0" applyNumberFormat="1" applyFont="1" applyFill="1" applyBorder="1" applyAlignment="1">
      <alignment horizontal="center"/>
    </xf>
    <xf numFmtId="10" fontId="2" fillId="0" borderId="0" xfId="0" applyNumberFormat="1" applyFont="1"/>
    <xf numFmtId="169" fontId="23" fillId="7" borderId="5" xfId="0" applyNumberFormat="1" applyFont="1" applyFill="1" applyBorder="1"/>
    <xf numFmtId="169" fontId="22" fillId="7" borderId="0" xfId="0" applyNumberFormat="1" applyFont="1" applyFill="1"/>
    <xf numFmtId="169" fontId="23" fillId="7" borderId="0" xfId="0" applyNumberFormat="1" applyFont="1" applyFill="1"/>
    <xf numFmtId="169" fontId="23" fillId="6" borderId="1" xfId="0" applyNumberFormat="1" applyFont="1" applyFill="1" applyBorder="1"/>
    <xf numFmtId="0" fontId="20" fillId="2" borderId="3" xfId="1" applyNumberFormat="1" applyFont="1" applyBorder="1" applyAlignment="1">
      <alignment horizontal="centerContinuous"/>
    </xf>
    <xf numFmtId="169" fontId="0" fillId="0" borderId="0" xfId="0" applyNumberFormat="1"/>
    <xf numFmtId="0" fontId="0" fillId="0" borderId="0" xfId="0" applyAlignment="1">
      <alignment horizontal="right"/>
    </xf>
    <xf numFmtId="0" fontId="20" fillId="2" borderId="5" xfId="1" applyFont="1" applyBorder="1" applyAlignment="1">
      <alignment horizontal="centerContinuous"/>
    </xf>
    <xf numFmtId="0" fontId="23" fillId="0" borderId="11" xfId="0" applyFont="1" applyBorder="1"/>
    <xf numFmtId="0" fontId="26" fillId="6" borderId="4" xfId="0" applyFont="1" applyFill="1" applyBorder="1"/>
    <xf numFmtId="0" fontId="23" fillId="0" borderId="22" xfId="0" applyFont="1" applyBorder="1"/>
    <xf numFmtId="0" fontId="23" fillId="0" borderId="13" xfId="0" applyFont="1" applyBorder="1"/>
    <xf numFmtId="165" fontId="23" fillId="0" borderId="12" xfId="0" applyNumberFormat="1" applyFont="1" applyBorder="1" applyAlignment="1">
      <alignment horizontal="right"/>
    </xf>
    <xf numFmtId="165" fontId="26" fillId="6" borderId="6" xfId="0" applyNumberFormat="1" applyFont="1" applyFill="1" applyBorder="1" applyAlignment="1">
      <alignment horizontal="right"/>
    </xf>
    <xf numFmtId="2" fontId="23" fillId="0" borderId="12" xfId="0" applyNumberFormat="1" applyFont="1" applyBorder="1" applyAlignment="1">
      <alignment horizontal="right"/>
    </xf>
    <xf numFmtId="169" fontId="23" fillId="0" borderId="12" xfId="0" applyNumberFormat="1" applyFont="1" applyBorder="1" applyAlignment="1">
      <alignment horizontal="right"/>
    </xf>
    <xf numFmtId="165" fontId="25" fillId="0" borderId="12" xfId="0" applyNumberFormat="1" applyFont="1" applyBorder="1" applyAlignment="1">
      <alignment horizontal="right"/>
    </xf>
    <xf numFmtId="172" fontId="26" fillId="6" borderId="6" xfId="0" applyNumberFormat="1" applyFont="1" applyFill="1" applyBorder="1" applyAlignment="1">
      <alignment horizontal="right"/>
    </xf>
    <xf numFmtId="169" fontId="23" fillId="0" borderId="23" xfId="0" applyNumberFormat="1" applyFont="1" applyBorder="1" applyAlignment="1">
      <alignment horizontal="right"/>
    </xf>
    <xf numFmtId="171" fontId="21" fillId="0" borderId="0" xfId="0" applyNumberFormat="1" applyFont="1" applyAlignment="1">
      <alignment horizontal="center"/>
    </xf>
    <xf numFmtId="171" fontId="22" fillId="8" borderId="0" xfId="0" applyNumberFormat="1" applyFont="1" applyFill="1" applyAlignment="1">
      <alignment horizontal="center"/>
    </xf>
    <xf numFmtId="171" fontId="25" fillId="0" borderId="12" xfId="0" applyNumberFormat="1" applyFont="1" applyBorder="1" applyAlignment="1">
      <alignment horizontal="right"/>
    </xf>
    <xf numFmtId="172" fontId="29" fillId="9" borderId="0" xfId="0" applyNumberFormat="1" applyFont="1" applyFill="1" applyAlignment="1">
      <alignment horizontal="center"/>
    </xf>
    <xf numFmtId="0" fontId="30" fillId="0" borderId="0" xfId="0" applyFont="1"/>
    <xf numFmtId="169" fontId="24" fillId="0" borderId="24" xfId="0" applyNumberFormat="1" applyFont="1" applyBorder="1" applyAlignment="1">
      <alignment horizontal="center"/>
    </xf>
    <xf numFmtId="169" fontId="24" fillId="0" borderId="29" xfId="0" applyNumberFormat="1" applyFont="1" applyBorder="1" applyAlignment="1">
      <alignment horizontal="center"/>
    </xf>
    <xf numFmtId="172" fontId="21" fillId="10" borderId="35" xfId="0" applyNumberFormat="1" applyFont="1" applyFill="1" applyBorder="1" applyAlignment="1">
      <alignment horizontal="center"/>
    </xf>
    <xf numFmtId="172" fontId="21" fillId="10" borderId="36" xfId="0" applyNumberFormat="1" applyFont="1" applyFill="1" applyBorder="1" applyAlignment="1">
      <alignment horizontal="center"/>
    </xf>
    <xf numFmtId="172" fontId="21" fillId="10" borderId="37" xfId="0" applyNumberFormat="1" applyFont="1" applyFill="1" applyBorder="1" applyAlignment="1">
      <alignment horizontal="center"/>
    </xf>
    <xf numFmtId="172" fontId="21" fillId="10" borderId="38" xfId="0" applyNumberFormat="1" applyFont="1" applyFill="1" applyBorder="1" applyAlignment="1">
      <alignment horizontal="center"/>
    </xf>
    <xf numFmtId="172" fontId="21" fillId="10" borderId="39" xfId="0" applyNumberFormat="1" applyFont="1" applyFill="1" applyBorder="1" applyAlignment="1">
      <alignment horizontal="center"/>
    </xf>
    <xf numFmtId="172" fontId="21" fillId="10" borderId="40" xfId="0" applyNumberFormat="1" applyFont="1" applyFill="1" applyBorder="1" applyAlignment="1">
      <alignment horizontal="center"/>
    </xf>
    <xf numFmtId="172" fontId="21" fillId="10" borderId="41" xfId="0" applyNumberFormat="1" applyFont="1" applyFill="1" applyBorder="1" applyAlignment="1">
      <alignment horizontal="center"/>
    </xf>
    <xf numFmtId="172" fontId="21" fillId="10" borderId="42" xfId="0" applyNumberFormat="1" applyFont="1" applyFill="1" applyBorder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center"/>
    </xf>
    <xf numFmtId="169" fontId="24" fillId="0" borderId="26" xfId="0" applyNumberFormat="1" applyFont="1" applyBorder="1" applyAlignment="1">
      <alignment horizontal="center"/>
    </xf>
    <xf numFmtId="0" fontId="20" fillId="2" borderId="32" xfId="1" applyFont="1" applyBorder="1"/>
    <xf numFmtId="171" fontId="20" fillId="2" borderId="33" xfId="1" applyNumberFormat="1" applyFont="1" applyBorder="1" applyAlignment="1">
      <alignment horizontal="center"/>
    </xf>
    <xf numFmtId="171" fontId="20" fillId="2" borderId="34" xfId="1" applyNumberFormat="1" applyFont="1" applyBorder="1" applyAlignment="1">
      <alignment horizontal="center"/>
    </xf>
    <xf numFmtId="172" fontId="1" fillId="4" borderId="37" xfId="3" applyNumberFormat="1" applyBorder="1" applyAlignment="1">
      <alignment horizontal="center"/>
    </xf>
    <xf numFmtId="172" fontId="1" fillId="4" borderId="35" xfId="3" applyNumberFormat="1" applyBorder="1" applyAlignment="1">
      <alignment horizontal="center"/>
    </xf>
    <xf numFmtId="172" fontId="1" fillId="4" borderId="40" xfId="3" applyNumberFormat="1" applyBorder="1" applyAlignment="1">
      <alignment horizontal="center"/>
    </xf>
    <xf numFmtId="172" fontId="1" fillId="4" borderId="38" xfId="3" applyNumberFormat="1" applyBorder="1" applyAlignment="1">
      <alignment horizontal="center"/>
    </xf>
    <xf numFmtId="172" fontId="1" fillId="4" borderId="39" xfId="3" applyNumberFormat="1" applyBorder="1" applyAlignment="1">
      <alignment horizontal="center"/>
    </xf>
    <xf numFmtId="172" fontId="1" fillId="4" borderId="36" xfId="3" applyNumberFormat="1" applyBorder="1" applyAlignment="1">
      <alignment horizontal="center"/>
    </xf>
    <xf numFmtId="172" fontId="1" fillId="4" borderId="42" xfId="3" applyNumberFormat="1" applyBorder="1" applyAlignment="1">
      <alignment horizontal="center"/>
    </xf>
    <xf numFmtId="172" fontId="1" fillId="4" borderId="41" xfId="3" applyNumberFormat="1" applyBorder="1" applyAlignment="1">
      <alignment horizontal="center"/>
    </xf>
    <xf numFmtId="172" fontId="1" fillId="3" borderId="27" xfId="2" applyNumberFormat="1" applyBorder="1" applyAlignment="1">
      <alignment horizontal="center"/>
    </xf>
    <xf numFmtId="172" fontId="1" fillId="3" borderId="28" xfId="2" applyNumberFormat="1" applyBorder="1" applyAlignment="1">
      <alignment horizontal="center"/>
    </xf>
    <xf numFmtId="172" fontId="1" fillId="3" borderId="43" xfId="2" applyNumberFormat="1" applyBorder="1" applyAlignment="1">
      <alignment horizontal="center"/>
    </xf>
    <xf numFmtId="172" fontId="1" fillId="3" borderId="24" xfId="2" applyNumberFormat="1" applyBorder="1" applyAlignment="1">
      <alignment horizontal="center"/>
    </xf>
    <xf numFmtId="172" fontId="1" fillId="3" borderId="29" xfId="2" applyNumberFormat="1" applyBorder="1" applyAlignment="1">
      <alignment horizontal="center"/>
    </xf>
    <xf numFmtId="172" fontId="1" fillId="3" borderId="30" xfId="2" applyNumberFormat="1" applyBorder="1" applyAlignment="1">
      <alignment horizontal="center"/>
    </xf>
    <xf numFmtId="172" fontId="1" fillId="3" borderId="31" xfId="2" applyNumberFormat="1" applyBorder="1" applyAlignment="1">
      <alignment horizontal="center"/>
    </xf>
    <xf numFmtId="172" fontId="1" fillId="3" borderId="25" xfId="2" applyNumberFormat="1" applyBorder="1" applyAlignment="1">
      <alignment horizontal="center"/>
    </xf>
    <xf numFmtId="0" fontId="31" fillId="0" borderId="0" xfId="0" applyFont="1" applyAlignment="1">
      <alignment vertical="center"/>
    </xf>
    <xf numFmtId="0" fontId="24" fillId="0" borderId="1" xfId="0" applyFont="1" applyBorder="1"/>
    <xf numFmtId="0" fontId="21" fillId="0" borderId="1" xfId="0" applyFont="1" applyBorder="1"/>
    <xf numFmtId="0" fontId="28" fillId="9" borderId="16" xfId="0" applyFont="1" applyFill="1" applyBorder="1" applyAlignment="1">
      <alignment horizontal="center"/>
    </xf>
    <xf numFmtId="165" fontId="27" fillId="0" borderId="16" xfId="0" applyNumberFormat="1" applyFont="1" applyBorder="1" applyAlignment="1">
      <alignment horizontal="center"/>
    </xf>
    <xf numFmtId="165" fontId="25" fillId="0" borderId="16" xfId="0" applyNumberFormat="1" applyFont="1" applyBorder="1" applyAlignment="1">
      <alignment horizontal="center"/>
    </xf>
    <xf numFmtId="165" fontId="26" fillId="6" borderId="17" xfId="0" applyNumberFormat="1" applyFont="1" applyFill="1" applyBorder="1" applyAlignment="1">
      <alignment horizontal="center"/>
    </xf>
    <xf numFmtId="165" fontId="23" fillId="0" borderId="16" xfId="0" applyNumberFormat="1" applyFont="1" applyBorder="1" applyAlignment="1">
      <alignment horizontal="center"/>
    </xf>
    <xf numFmtId="165" fontId="26" fillId="6" borderId="18" xfId="0" applyNumberFormat="1" applyFont="1" applyFill="1" applyBorder="1" applyAlignment="1">
      <alignment horizontal="center"/>
    </xf>
    <xf numFmtId="10" fontId="27" fillId="0" borderId="44" xfId="0" applyNumberFormat="1" applyFont="1" applyBorder="1" applyAlignment="1">
      <alignment horizontal="center"/>
    </xf>
    <xf numFmtId="0" fontId="23" fillId="6" borderId="17" xfId="0" applyFont="1" applyFill="1" applyBorder="1" applyAlignment="1">
      <alignment horizontal="center"/>
    </xf>
    <xf numFmtId="0" fontId="23" fillId="6" borderId="45" xfId="0" applyFont="1" applyFill="1" applyBorder="1" applyAlignment="1">
      <alignment horizontal="center"/>
    </xf>
    <xf numFmtId="0" fontId="23" fillId="0" borderId="20" xfId="0" applyFont="1" applyBorder="1"/>
    <xf numFmtId="0" fontId="32" fillId="0" borderId="0" xfId="0" applyFont="1"/>
    <xf numFmtId="0" fontId="11" fillId="0" borderId="0" xfId="0" applyFont="1"/>
    <xf numFmtId="0" fontId="32" fillId="0" borderId="0" xfId="0" applyFont="1" applyAlignment="1">
      <alignment horizontal="right"/>
    </xf>
    <xf numFmtId="0" fontId="13" fillId="0" borderId="0" xfId="0" applyFont="1"/>
    <xf numFmtId="0" fontId="11" fillId="5" borderId="2" xfId="0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0" fontId="11" fillId="0" borderId="5" xfId="0" applyFont="1" applyBorder="1"/>
    <xf numFmtId="0" fontId="11" fillId="6" borderId="3" xfId="0" applyFont="1" applyFill="1" applyBorder="1"/>
    <xf numFmtId="0" fontId="34" fillId="6" borderId="14" xfId="0" applyFont="1" applyFill="1" applyBorder="1"/>
    <xf numFmtId="0" fontId="11" fillId="0" borderId="1" xfId="0" applyFont="1" applyBorder="1"/>
    <xf numFmtId="0" fontId="32" fillId="0" borderId="1" xfId="0" applyFont="1" applyBorder="1"/>
    <xf numFmtId="0" fontId="11" fillId="5" borderId="47" xfId="0" applyFont="1" applyFill="1" applyBorder="1" applyAlignment="1">
      <alignment horizontal="center"/>
    </xf>
    <xf numFmtId="0" fontId="32" fillId="0" borderId="46" xfId="0" applyFont="1" applyBorder="1"/>
    <xf numFmtId="0" fontId="32" fillId="0" borderId="51" xfId="0" applyFont="1" applyBorder="1"/>
    <xf numFmtId="0" fontId="26" fillId="6" borderId="1" xfId="0" applyFont="1" applyFill="1" applyBorder="1"/>
    <xf numFmtId="168" fontId="27" fillId="6" borderId="1" xfId="0" applyNumberFormat="1" applyFont="1" applyFill="1" applyBorder="1" applyAlignment="1">
      <alignment horizontal="center"/>
    </xf>
    <xf numFmtId="168" fontId="27" fillId="6" borderId="20" xfId="0" applyNumberFormat="1" applyFont="1" applyFill="1" applyBorder="1" applyAlignment="1">
      <alignment horizontal="center"/>
    </xf>
    <xf numFmtId="168" fontId="24" fillId="6" borderId="1" xfId="0" applyNumberFormat="1" applyFont="1" applyFill="1" applyBorder="1" applyAlignment="1">
      <alignment horizontal="center"/>
    </xf>
    <xf numFmtId="0" fontId="7" fillId="7" borderId="0" xfId="0" applyFont="1" applyFill="1"/>
    <xf numFmtId="0" fontId="6" fillId="7" borderId="0" xfId="0" applyFont="1" applyFill="1"/>
    <xf numFmtId="0" fontId="0" fillId="7" borderId="0" xfId="0" applyFill="1"/>
    <xf numFmtId="0" fontId="0" fillId="7" borderId="46" xfId="0" applyFill="1" applyBorder="1"/>
    <xf numFmtId="0" fontId="0" fillId="7" borderId="1" xfId="0" applyFill="1" applyBorder="1"/>
    <xf numFmtId="0" fontId="0" fillId="7" borderId="51" xfId="0" applyFill="1" applyBorder="1"/>
    <xf numFmtId="168" fontId="32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8" fontId="11" fillId="0" borderId="46" xfId="0" applyNumberFormat="1" applyFont="1" applyBorder="1" applyAlignment="1">
      <alignment horizontal="center"/>
    </xf>
    <xf numFmtId="168" fontId="11" fillId="0" borderId="0" xfId="0" applyNumberFormat="1" applyFont="1" applyAlignment="1">
      <alignment horizontal="center"/>
    </xf>
    <xf numFmtId="168" fontId="10" fillId="8" borderId="46" xfId="0" applyNumberFormat="1" applyFont="1" applyFill="1" applyBorder="1" applyAlignment="1">
      <alignment horizontal="center"/>
    </xf>
    <xf numFmtId="168" fontId="10" fillId="8" borderId="0" xfId="0" applyNumberFormat="1" applyFont="1" applyFill="1" applyAlignment="1">
      <alignment horizontal="center"/>
    </xf>
    <xf numFmtId="168" fontId="32" fillId="0" borderId="5" xfId="0" applyNumberFormat="1" applyFont="1" applyBorder="1" applyAlignment="1">
      <alignment horizontal="center"/>
    </xf>
    <xf numFmtId="168" fontId="13" fillId="0" borderId="5" xfId="0" applyNumberFormat="1" applyFont="1" applyBorder="1" applyAlignment="1">
      <alignment horizontal="center"/>
    </xf>
    <xf numFmtId="168" fontId="11" fillId="0" borderId="48" xfId="0" applyNumberFormat="1" applyFont="1" applyBorder="1" applyAlignment="1">
      <alignment horizontal="center"/>
    </xf>
    <xf numFmtId="168" fontId="11" fillId="0" borderId="5" xfId="0" applyNumberFormat="1" applyFont="1" applyBorder="1" applyAlignment="1">
      <alignment horizontal="center"/>
    </xf>
    <xf numFmtId="169" fontId="10" fillId="0" borderId="0" xfId="0" applyNumberFormat="1" applyFont="1" applyAlignment="1">
      <alignment horizontal="center"/>
    </xf>
    <xf numFmtId="169" fontId="32" fillId="0" borderId="46" xfId="0" applyNumberFormat="1" applyFont="1" applyBorder="1" applyAlignment="1">
      <alignment horizontal="center"/>
    </xf>
    <xf numFmtId="169" fontId="32" fillId="0" borderId="0" xfId="0" applyNumberFormat="1" applyFont="1" applyAlignment="1">
      <alignment horizontal="center"/>
    </xf>
    <xf numFmtId="169" fontId="10" fillId="8" borderId="46" xfId="0" applyNumberFormat="1" applyFont="1" applyFill="1" applyBorder="1" applyAlignment="1">
      <alignment horizontal="center"/>
    </xf>
    <xf numFmtId="169" fontId="10" fillId="8" borderId="0" xfId="0" applyNumberFormat="1" applyFont="1" applyFill="1" applyAlignment="1">
      <alignment horizontal="center"/>
    </xf>
    <xf numFmtId="168" fontId="12" fillId="0" borderId="0" xfId="0" applyNumberFormat="1" applyFont="1" applyAlignment="1">
      <alignment horizontal="center"/>
    </xf>
    <xf numFmtId="168" fontId="32" fillId="0" borderId="46" xfId="0" applyNumberFormat="1" applyFont="1" applyBorder="1" applyAlignment="1">
      <alignment horizontal="center"/>
    </xf>
    <xf numFmtId="168" fontId="33" fillId="6" borderId="3" xfId="0" applyNumberFormat="1" applyFont="1" applyFill="1" applyBorder="1" applyAlignment="1">
      <alignment horizontal="center"/>
    </xf>
    <xf numFmtId="168" fontId="13" fillId="6" borderId="3" xfId="0" applyNumberFormat="1" applyFont="1" applyFill="1" applyBorder="1" applyAlignment="1">
      <alignment horizontal="center"/>
    </xf>
    <xf numFmtId="168" fontId="11" fillId="6" borderId="49" xfId="0" applyNumberFormat="1" applyFont="1" applyFill="1" applyBorder="1" applyAlignment="1">
      <alignment horizontal="center"/>
    </xf>
    <xf numFmtId="168" fontId="11" fillId="6" borderId="3" xfId="0" applyNumberFormat="1" applyFont="1" applyFill="1" applyBorder="1" applyAlignment="1">
      <alignment horizontal="center"/>
    </xf>
    <xf numFmtId="168" fontId="35" fillId="6" borderId="14" xfId="0" applyNumberFormat="1" applyFont="1" applyFill="1" applyBorder="1" applyAlignment="1">
      <alignment horizontal="center"/>
    </xf>
    <xf numFmtId="168" fontId="34" fillId="6" borderId="50" xfId="0" applyNumberFormat="1" applyFont="1" applyFill="1" applyBorder="1" applyAlignment="1">
      <alignment horizontal="center"/>
    </xf>
    <xf numFmtId="168" fontId="34" fillId="6" borderId="14" xfId="0" applyNumberFormat="1" applyFont="1" applyFill="1" applyBorder="1" applyAlignment="1">
      <alignment horizontal="center"/>
    </xf>
    <xf numFmtId="168" fontId="13" fillId="7" borderId="0" xfId="0" applyNumberFormat="1" applyFont="1" applyFill="1" applyAlignment="1">
      <alignment horizontal="center"/>
    </xf>
    <xf numFmtId="168" fontId="11" fillId="7" borderId="46" xfId="0" applyNumberFormat="1" applyFont="1" applyFill="1" applyBorder="1" applyAlignment="1">
      <alignment horizontal="center"/>
    </xf>
    <xf numFmtId="168" fontId="11" fillId="7" borderId="0" xfId="0" applyNumberFormat="1" applyFont="1" applyFill="1" applyAlignment="1">
      <alignment horizontal="center"/>
    </xf>
    <xf numFmtId="169" fontId="6" fillId="7" borderId="0" xfId="0" applyNumberFormat="1" applyFont="1" applyFill="1" applyAlignment="1">
      <alignment horizontal="center"/>
    </xf>
    <xf numFmtId="169" fontId="6" fillId="7" borderId="46" xfId="0" applyNumberFormat="1" applyFont="1" applyFill="1" applyBorder="1" applyAlignment="1">
      <alignment horizontal="center"/>
    </xf>
    <xf numFmtId="169" fontId="32" fillId="0" borderId="0" xfId="0" applyNumberFormat="1" applyFont="1" applyAlignment="1">
      <alignment horizontal="center" vertical="center"/>
    </xf>
    <xf numFmtId="169" fontId="32" fillId="0" borderId="16" xfId="0" applyNumberFormat="1" applyFont="1" applyBorder="1" applyAlignment="1">
      <alignment horizontal="center" vertical="center"/>
    </xf>
    <xf numFmtId="0" fontId="24" fillId="0" borderId="0" xfId="0" applyFont="1"/>
    <xf numFmtId="0" fontId="25" fillId="7" borderId="0" xfId="0" applyFont="1" applyFill="1"/>
    <xf numFmtId="168" fontId="25" fillId="7" borderId="0" xfId="0" applyNumberFormat="1" applyFont="1" applyFill="1" applyAlignment="1">
      <alignment horizontal="center"/>
    </xf>
    <xf numFmtId="0" fontId="36" fillId="7" borderId="0" xfId="0" applyFont="1" applyFill="1"/>
    <xf numFmtId="168" fontId="36" fillId="7" borderId="0" xfId="0" applyNumberFormat="1" applyFont="1" applyFill="1" applyAlignment="1">
      <alignment horizontal="center"/>
    </xf>
    <xf numFmtId="168" fontId="25" fillId="7" borderId="41" xfId="0" applyNumberFormat="1" applyFont="1" applyFill="1" applyBorder="1" applyAlignment="1">
      <alignment horizontal="center"/>
    </xf>
    <xf numFmtId="168" fontId="36" fillId="7" borderId="41" xfId="0" applyNumberFormat="1" applyFont="1" applyFill="1" applyBorder="1" applyAlignment="1">
      <alignment horizontal="center"/>
    </xf>
    <xf numFmtId="0" fontId="23" fillId="7" borderId="41" xfId="0" applyFont="1" applyFill="1" applyBorder="1"/>
  </cellXfs>
  <cellStyles count="4">
    <cellStyle name="20% - Accent1" xfId="2" builtinId="30"/>
    <cellStyle name="40% - Accent1" xfId="3" builtinId="31"/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152400</xdr:rowOff>
    </xdr:from>
    <xdr:to>
      <xdr:col>7</xdr:col>
      <xdr:colOff>490854</xdr:colOff>
      <xdr:row>8</xdr:row>
      <xdr:rowOff>139557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786BFC-C29E-4C63-963D-A88185DC6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99" t="16501" r="27078" b="12376"/>
        <a:stretch>
          <a:fillRect/>
        </a:stretch>
      </xdr:blipFill>
      <xdr:spPr bwMode="auto">
        <a:xfrm>
          <a:off x="213360" y="152400"/>
          <a:ext cx="4544694" cy="15721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13</xdr:row>
      <xdr:rowOff>76200</xdr:rowOff>
    </xdr:to>
    <xdr:sp macro="" textlink="">
      <xdr:nvSpPr>
        <xdr:cNvPr id="5121" name="AutoShape 1" descr="Broadcom Corporation - Wikipedia">
          <a:extLst>
            <a:ext uri="{FF2B5EF4-FFF2-40B4-BE49-F238E27FC236}">
              <a16:creationId xmlns:a16="http://schemas.microsoft.com/office/drawing/2014/main" id="{8F970DD2-8EA5-2A8D-E576-9A1B76B8867C}"/>
            </a:ext>
          </a:extLst>
        </xdr:cNvPr>
        <xdr:cNvSpPr>
          <a:spLocks noChangeAspect="1" noChangeArrowheads="1"/>
        </xdr:cNvSpPr>
      </xdr:nvSpPr>
      <xdr:spPr bwMode="auto">
        <a:xfrm>
          <a:off x="42672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109957</xdr:colOff>
      <xdr:row>8</xdr:row>
      <xdr:rowOff>70890</xdr:rowOff>
    </xdr:from>
    <xdr:to>
      <xdr:col>11</xdr:col>
      <xdr:colOff>164559</xdr:colOff>
      <xdr:row>15</xdr:row>
      <xdr:rowOff>35560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C72964-EF53-4FC4-3FC0-08EA2913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7557" y="1655850"/>
          <a:ext cx="3102602" cy="15039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havya Patel" id="{3497659A-0F45-4FD3-ABED-1D09310A6A0D}" userId="d0ceef47e47fdd1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2" dT="2026-03-19T16:55:14.64" personId="{3497659A-0F45-4FD3-ABED-1D09310A6A0D}" id="{B690EECE-5048-44BB-AC18-D58AC8DCC1E5}">
    <text>Note: The IS data was sourced from LSEG (Refinitiv), which recalendarizes Broadcom's non-standard fiscal year (ending early November) to align with calendar year periods. Broadcom's official FY2024 (ended Nov 3, 2024) reported $51.6B total revenue vs. LSEG's $47.4B for the same label year. The Revenue Build segment inputs use Broadcom's own fiscal year convention from earnings calls and 10-K filings, which is why the segment build-up exceeds the LSEG-sourced IS total for FY2024 and FY2025.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6-03-19T16:55:14.69" personId="{3497659A-0F45-4FD3-ABED-1D09310A6A0D}" id="{56508E01-7E65-4D7E-AF1E-30707E3F5BCF}">
    <text>Note: Financial data sourced from LSEG (Refinitiv). LSEG recalendarizes Broadcom's fiscal year (which ends on the Sunday closest to Oct 31) to calendar year periods. As a result, figures may differ from Broadcom's 10-K reported totals. For example, Broadcom's official FY2024 total revenue was $51.6B vs. $47.4B shown here. The Revenue Build sheet uses Broadcom's own fiscal year convention.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5DDB184-FDD8-4E59-BA4B-454E9E1286DE}">
  <we:reference id="wa200009404" version="1.0.0.8" store="en-U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444AD-1313-459A-88C4-3F0234E27031}">
  <dimension ref="B11:E15"/>
  <sheetViews>
    <sheetView showGridLines="0" tabSelected="1" zoomScaleNormal="100" workbookViewId="0"/>
  </sheetViews>
  <sheetFormatPr defaultRowHeight="15.6" x14ac:dyDescent="0.3"/>
  <sheetData>
    <row r="11" spans="2:5" ht="18" x14ac:dyDescent="0.35">
      <c r="B11" s="21" t="s">
        <v>259</v>
      </c>
      <c r="C11" s="21"/>
      <c r="D11" s="21"/>
      <c r="E11" s="21"/>
    </row>
    <row r="12" spans="2:5" ht="18" x14ac:dyDescent="0.35">
      <c r="B12" s="19"/>
      <c r="C12" s="19"/>
      <c r="D12" s="19"/>
      <c r="E12" s="19"/>
    </row>
    <row r="13" spans="2:5" ht="18" x14ac:dyDescent="0.35">
      <c r="B13" s="20" t="s">
        <v>109</v>
      </c>
      <c r="C13" s="20"/>
      <c r="D13" s="20"/>
      <c r="E13" s="20"/>
    </row>
    <row r="14" spans="2:5" ht="18" x14ac:dyDescent="0.35">
      <c r="B14" s="19"/>
      <c r="C14" s="19"/>
      <c r="D14" s="19"/>
      <c r="E14" s="19"/>
    </row>
    <row r="15" spans="2:5" ht="18" x14ac:dyDescent="0.35">
      <c r="B15" s="20" t="s">
        <v>110</v>
      </c>
      <c r="C15" s="20"/>
      <c r="D15" s="20"/>
      <c r="E15" s="2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EA02-6F53-42DA-A8A5-AED7CED5923E}">
  <dimension ref="A1:I70"/>
  <sheetViews>
    <sheetView showGridLines="0" workbookViewId="0"/>
  </sheetViews>
  <sheetFormatPr defaultRowHeight="15.6" x14ac:dyDescent="0.3"/>
  <cols>
    <col min="1" max="1" width="2.77734375" customWidth="1"/>
    <col min="2" max="2" width="46.33203125" customWidth="1"/>
    <col min="3" max="9" width="17.5546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7.399999999999999" x14ac:dyDescent="0.35">
      <c r="A2" s="1"/>
      <c r="B2" s="3" t="s">
        <v>0</v>
      </c>
      <c r="C2" s="4"/>
      <c r="D2" s="4"/>
      <c r="E2" s="4"/>
      <c r="F2" s="4"/>
      <c r="G2" s="4"/>
      <c r="H2" s="4"/>
      <c r="I2" s="4"/>
    </row>
    <row r="3" spans="1:9" x14ac:dyDescent="0.3">
      <c r="A3" s="1"/>
      <c r="B3" s="5" t="s">
        <v>67</v>
      </c>
      <c r="C3" s="4"/>
      <c r="D3" s="4"/>
      <c r="E3" s="4"/>
      <c r="F3" s="4"/>
      <c r="G3" s="4"/>
      <c r="H3" s="4"/>
      <c r="I3" s="4"/>
    </row>
    <row r="4" spans="1:9" x14ac:dyDescent="0.3">
      <c r="A4" s="1"/>
      <c r="B4" s="6" t="s">
        <v>2</v>
      </c>
      <c r="C4" s="4"/>
      <c r="D4" s="4"/>
      <c r="E4" s="4"/>
      <c r="F4" s="4"/>
      <c r="G4" s="4"/>
      <c r="H4" s="4"/>
      <c r="I4" s="4"/>
    </row>
    <row r="5" spans="1:9" x14ac:dyDescent="0.3">
      <c r="A5" s="1"/>
      <c r="B5" s="4"/>
      <c r="C5" s="4"/>
      <c r="D5" s="4"/>
      <c r="E5" s="4"/>
      <c r="F5" s="4"/>
      <c r="G5" s="4"/>
      <c r="H5" s="4"/>
      <c r="I5" s="4"/>
    </row>
    <row r="6" spans="1:9" x14ac:dyDescent="0.3">
      <c r="A6" s="1"/>
      <c r="B6" s="4"/>
      <c r="C6" s="17" t="s">
        <v>3</v>
      </c>
      <c r="D6" s="18"/>
      <c r="E6" s="18"/>
      <c r="F6" s="18"/>
      <c r="G6" s="18"/>
      <c r="H6" s="18"/>
      <c r="I6" s="18"/>
    </row>
    <row r="7" spans="1:9" ht="16.2" thickBot="1" x14ac:dyDescent="0.35">
      <c r="A7" s="1"/>
      <c r="B7" s="4"/>
      <c r="C7" s="7">
        <v>2019</v>
      </c>
      <c r="D7" s="7">
        <v>2020</v>
      </c>
      <c r="E7" s="7">
        <v>2021</v>
      </c>
      <c r="F7" s="7">
        <v>2022</v>
      </c>
      <c r="G7" s="7">
        <v>2023</v>
      </c>
      <c r="H7" s="7">
        <v>2024</v>
      </c>
      <c r="I7" s="7">
        <v>2025</v>
      </c>
    </row>
    <row r="8" spans="1:9" x14ac:dyDescent="0.3">
      <c r="A8" s="1"/>
      <c r="B8" s="5" t="s">
        <v>68</v>
      </c>
      <c r="C8" s="4"/>
      <c r="D8" s="4"/>
      <c r="E8" s="4"/>
      <c r="F8" s="4"/>
      <c r="G8" s="4"/>
      <c r="H8" s="4"/>
      <c r="I8" s="4"/>
    </row>
    <row r="9" spans="1:9" x14ac:dyDescent="0.3">
      <c r="A9" s="1"/>
      <c r="B9" s="4" t="s">
        <v>69</v>
      </c>
      <c r="C9" s="13">
        <f>'Income Statement'!C31</f>
        <v>2434.6299999999987</v>
      </c>
      <c r="D9" s="13">
        <f>'Income Statement'!D31</f>
        <v>2632.12</v>
      </c>
      <c r="E9" s="13">
        <f>'Income Statement'!E31</f>
        <v>5644.0499999999975</v>
      </c>
      <c r="F9" s="13">
        <f>'Income Statement'!F31</f>
        <v>10774.21</v>
      </c>
      <c r="G9" s="13">
        <f>'Income Statement'!G31</f>
        <v>13129.46</v>
      </c>
      <c r="H9" s="13">
        <f>'Income Statement'!H31</f>
        <v>5673.649999999996</v>
      </c>
      <c r="I9" s="13">
        <f>'Income Statement'!I31</f>
        <v>20839.580000000002</v>
      </c>
    </row>
    <row r="10" spans="1:9" x14ac:dyDescent="0.3">
      <c r="A10" s="1"/>
      <c r="B10" s="5" t="s">
        <v>70</v>
      </c>
      <c r="C10" s="10"/>
      <c r="D10" s="10"/>
      <c r="E10" s="10"/>
      <c r="F10" s="10"/>
      <c r="G10" s="10"/>
      <c r="H10" s="10"/>
      <c r="I10" s="10"/>
    </row>
    <row r="11" spans="1:9" x14ac:dyDescent="0.3">
      <c r="A11" s="1"/>
      <c r="B11" s="4" t="s">
        <v>71</v>
      </c>
      <c r="C11" s="8">
        <v>4661.91</v>
      </c>
      <c r="D11" s="8">
        <v>5631.37</v>
      </c>
      <c r="E11" s="8">
        <v>4610.09</v>
      </c>
      <c r="F11" s="8">
        <v>4175.6499999999996</v>
      </c>
      <c r="G11" s="8">
        <v>3107.54</v>
      </c>
      <c r="H11" s="8">
        <v>8662.24</v>
      </c>
      <c r="I11" s="8">
        <v>7390.18</v>
      </c>
    </row>
    <row r="12" spans="1:9" x14ac:dyDescent="0.3">
      <c r="A12" s="1"/>
      <c r="B12" s="4" t="s">
        <v>72</v>
      </c>
      <c r="C12" s="8">
        <v>506.32</v>
      </c>
      <c r="D12" s="8">
        <v>506.69</v>
      </c>
      <c r="E12" s="8">
        <v>451.62</v>
      </c>
      <c r="F12" s="8">
        <v>495.83</v>
      </c>
      <c r="G12" s="8">
        <v>468.04</v>
      </c>
      <c r="H12" s="8">
        <v>545.47</v>
      </c>
      <c r="I12" s="8">
        <v>517.25</v>
      </c>
    </row>
    <row r="13" spans="1:9" x14ac:dyDescent="0.3">
      <c r="A13" s="1"/>
      <c r="B13" s="4" t="s">
        <v>73</v>
      </c>
      <c r="C13" s="8">
        <v>1944.32</v>
      </c>
      <c r="D13" s="8">
        <v>1756.52</v>
      </c>
      <c r="E13" s="8">
        <v>1427.77</v>
      </c>
      <c r="F13" s="8">
        <v>1436.87</v>
      </c>
      <c r="G13" s="8">
        <v>2024.15</v>
      </c>
      <c r="H13" s="8">
        <v>5280.86</v>
      </c>
      <c r="I13" s="8">
        <v>6819.77</v>
      </c>
    </row>
    <row r="14" spans="1:9" x14ac:dyDescent="0.3">
      <c r="A14" s="1"/>
      <c r="B14" s="4" t="s">
        <v>74</v>
      </c>
      <c r="C14" s="8">
        <v>-831.12</v>
      </c>
      <c r="D14" s="8">
        <v>-1015.16</v>
      </c>
      <c r="E14" s="8">
        <v>-677.86</v>
      </c>
      <c r="F14" s="8">
        <v>-31.87</v>
      </c>
      <c r="G14" s="8">
        <v>-467.11</v>
      </c>
      <c r="H14" s="8">
        <v>1807.51</v>
      </c>
      <c r="I14" s="8">
        <v>-3611.74</v>
      </c>
    </row>
    <row r="15" spans="1:9" x14ac:dyDescent="0.3">
      <c r="A15" s="1"/>
      <c r="B15" s="4" t="s">
        <v>75</v>
      </c>
      <c r="C15" s="8">
        <v>80.09</v>
      </c>
      <c r="D15" s="8">
        <v>246</v>
      </c>
      <c r="E15" s="8">
        <v>246.34</v>
      </c>
      <c r="F15" s="8">
        <v>214.64</v>
      </c>
      <c r="G15" s="8">
        <v>123.07</v>
      </c>
      <c r="H15" s="8">
        <v>537.20000000000005</v>
      </c>
      <c r="I15" s="8">
        <v>434.35</v>
      </c>
    </row>
    <row r="16" spans="1:9" x14ac:dyDescent="0.3">
      <c r="A16" s="1"/>
      <c r="B16" s="4" t="s">
        <v>76</v>
      </c>
      <c r="C16" s="8">
        <v>7.12</v>
      </c>
      <c r="D16" s="8">
        <v>-7.11</v>
      </c>
      <c r="E16" s="8">
        <v>-62.84</v>
      </c>
      <c r="F16" s="8">
        <v>171.52</v>
      </c>
      <c r="G16" s="8">
        <v>8.39</v>
      </c>
      <c r="H16" s="8">
        <v>371.62</v>
      </c>
      <c r="I16" s="8">
        <v>84.71</v>
      </c>
    </row>
    <row r="17" spans="1:9" x14ac:dyDescent="0.3">
      <c r="A17" s="1"/>
      <c r="B17" s="5" t="s">
        <v>77</v>
      </c>
      <c r="C17" s="10"/>
      <c r="D17" s="10"/>
      <c r="E17" s="10"/>
      <c r="F17" s="10"/>
      <c r="G17" s="10"/>
      <c r="H17" s="10"/>
      <c r="I17" s="10"/>
    </row>
    <row r="18" spans="1:9" x14ac:dyDescent="0.3">
      <c r="A18" s="1"/>
      <c r="B18" s="4" t="s">
        <v>78</v>
      </c>
      <c r="C18" s="8">
        <v>432.47</v>
      </c>
      <c r="D18" s="8">
        <v>872.04</v>
      </c>
      <c r="E18" s="8">
        <v>175.96</v>
      </c>
      <c r="F18" s="8">
        <v>-815.45</v>
      </c>
      <c r="G18" s="8">
        <v>-174.35</v>
      </c>
      <c r="H18" s="8">
        <v>2140.4899999999998</v>
      </c>
      <c r="I18" s="8">
        <v>-2448.38</v>
      </c>
    </row>
    <row r="19" spans="1:9" x14ac:dyDescent="0.3">
      <c r="A19" s="1"/>
      <c r="B19" s="4" t="s">
        <v>79</v>
      </c>
      <c r="C19" s="8">
        <v>222.46</v>
      </c>
      <c r="D19" s="8">
        <v>-27.56</v>
      </c>
      <c r="E19" s="8">
        <v>-246.34</v>
      </c>
      <c r="F19" s="8">
        <v>-587.67999999999995</v>
      </c>
      <c r="G19" s="8">
        <v>25.17</v>
      </c>
      <c r="H19" s="8">
        <v>137.97999999999999</v>
      </c>
      <c r="I19" s="8">
        <v>-459.58</v>
      </c>
    </row>
    <row r="20" spans="1:9" x14ac:dyDescent="0.3">
      <c r="A20" s="1"/>
      <c r="B20" s="4" t="s">
        <v>80</v>
      </c>
      <c r="C20" s="8">
        <v>-37.369999999999997</v>
      </c>
      <c r="D20" s="8">
        <v>-2.67</v>
      </c>
      <c r="E20" s="8">
        <v>203.61</v>
      </c>
      <c r="F20" s="8">
        <v>-74.05</v>
      </c>
      <c r="G20" s="8">
        <v>194.86</v>
      </c>
      <c r="H20" s="8">
        <v>111.3</v>
      </c>
      <c r="I20" s="8">
        <v>-106.33</v>
      </c>
    </row>
    <row r="21" spans="1:9" x14ac:dyDescent="0.3">
      <c r="A21" s="1"/>
      <c r="B21" s="4" t="s">
        <v>81</v>
      </c>
      <c r="C21" s="8">
        <v>-261.62</v>
      </c>
      <c r="D21" s="8">
        <v>192.9</v>
      </c>
      <c r="E21" s="8">
        <v>155.85</v>
      </c>
      <c r="F21" s="8">
        <v>127.47</v>
      </c>
      <c r="G21" s="8">
        <v>-260.13</v>
      </c>
      <c r="H21" s="8">
        <v>71.75</v>
      </c>
      <c r="I21" s="8">
        <v>270.33999999999997</v>
      </c>
    </row>
    <row r="22" spans="1:9" x14ac:dyDescent="0.3">
      <c r="A22" s="1"/>
      <c r="B22" s="4" t="s">
        <v>82</v>
      </c>
      <c r="C22" s="8">
        <v>-251.83</v>
      </c>
      <c r="D22" s="8">
        <v>294.24</v>
      </c>
      <c r="E22" s="8">
        <v>-148.31</v>
      </c>
      <c r="F22" s="8">
        <v>208.08</v>
      </c>
      <c r="G22" s="8">
        <v>-585.52</v>
      </c>
      <c r="H22" s="8">
        <v>-4896.37</v>
      </c>
      <c r="I22" s="8">
        <v>-1655.38</v>
      </c>
    </row>
    <row r="23" spans="1:9" x14ac:dyDescent="0.3">
      <c r="A23" s="1"/>
      <c r="B23" s="4" t="s">
        <v>83</v>
      </c>
      <c r="C23" s="8">
        <v>-267.83999999999997</v>
      </c>
      <c r="D23" s="8">
        <v>-357.35</v>
      </c>
      <c r="E23" s="8">
        <v>-247.18</v>
      </c>
      <c r="F23" s="8">
        <v>-408.66</v>
      </c>
      <c r="G23" s="8">
        <v>-731.9</v>
      </c>
      <c r="H23" s="8">
        <v>-1830.5</v>
      </c>
      <c r="I23" s="8">
        <v>-3260.3</v>
      </c>
    </row>
    <row r="24" spans="1:9" x14ac:dyDescent="0.3">
      <c r="A24" s="1"/>
      <c r="B24" s="16" t="s">
        <v>84</v>
      </c>
      <c r="C24" s="9">
        <f>SUM(C9,C11:C16,C18:C23)</f>
        <v>8639.5399999999954</v>
      </c>
      <c r="D24" s="9">
        <f t="shared" ref="D24:I24" si="0">SUM(D9,D11:D16,D18:D23)</f>
        <v>10722.03</v>
      </c>
      <c r="E24" s="9">
        <f t="shared" si="0"/>
        <v>11532.759999999998</v>
      </c>
      <c r="F24" s="9">
        <f t="shared" si="0"/>
        <v>15686.559999999998</v>
      </c>
      <c r="G24" s="9">
        <f t="shared" si="0"/>
        <v>16861.669999999998</v>
      </c>
      <c r="H24" s="9">
        <f t="shared" si="0"/>
        <v>18613.199999999993</v>
      </c>
      <c r="I24" s="9">
        <f t="shared" si="0"/>
        <v>24814.469999999994</v>
      </c>
    </row>
    <row r="25" spans="1:9" x14ac:dyDescent="0.3">
      <c r="A25" s="1"/>
      <c r="B25" s="4"/>
      <c r="C25" s="10"/>
      <c r="D25" s="10"/>
      <c r="E25" s="10"/>
      <c r="F25" s="10"/>
      <c r="G25" s="10"/>
      <c r="H25" s="10"/>
      <c r="I25" s="10"/>
    </row>
    <row r="26" spans="1:9" x14ac:dyDescent="0.3">
      <c r="A26" s="1"/>
      <c r="B26" s="5" t="s">
        <v>85</v>
      </c>
      <c r="C26" s="10"/>
      <c r="D26" s="10"/>
      <c r="E26" s="10"/>
      <c r="F26" s="10"/>
      <c r="G26" s="10"/>
      <c r="H26" s="10"/>
      <c r="I26" s="10"/>
    </row>
    <row r="27" spans="1:9" x14ac:dyDescent="0.3">
      <c r="A27" s="1"/>
      <c r="B27" s="4" t="s">
        <v>86</v>
      </c>
      <c r="C27" s="8">
        <v>-14266.93</v>
      </c>
      <c r="D27" s="8">
        <v>-9664.44</v>
      </c>
      <c r="E27" s="8">
        <v>-6.7</v>
      </c>
      <c r="F27" s="8">
        <v>-230.57</v>
      </c>
      <c r="G27" s="8">
        <v>-49.41</v>
      </c>
      <c r="H27" s="8">
        <v>-23895.89</v>
      </c>
      <c r="I27" s="8">
        <v>0</v>
      </c>
    </row>
    <row r="28" spans="1:9" x14ac:dyDescent="0.3">
      <c r="A28" s="1"/>
      <c r="B28" s="4" t="s">
        <v>87</v>
      </c>
      <c r="C28" s="8">
        <v>851.58</v>
      </c>
      <c r="D28" s="8">
        <v>193.79</v>
      </c>
      <c r="E28" s="8">
        <v>37.71</v>
      </c>
      <c r="F28" s="8">
        <v>0</v>
      </c>
      <c r="G28" s="8">
        <v>0</v>
      </c>
      <c r="H28" s="8">
        <v>3205.68</v>
      </c>
      <c r="I28" s="8">
        <v>270.33999999999997</v>
      </c>
    </row>
    <row r="29" spans="1:9" x14ac:dyDescent="0.3">
      <c r="A29" s="1"/>
      <c r="B29" s="4" t="s">
        <v>88</v>
      </c>
      <c r="C29" s="8">
        <v>-384.41</v>
      </c>
      <c r="D29" s="8">
        <v>-411.57</v>
      </c>
      <c r="E29" s="8">
        <v>-371.19</v>
      </c>
      <c r="F29" s="8">
        <v>-397.41</v>
      </c>
      <c r="G29" s="8">
        <v>-421.43</v>
      </c>
      <c r="H29" s="8">
        <v>-504.08</v>
      </c>
      <c r="I29" s="8">
        <v>-561.41</v>
      </c>
    </row>
    <row r="30" spans="1:9" x14ac:dyDescent="0.3">
      <c r="A30" s="1"/>
      <c r="B30" s="4" t="s">
        <v>89</v>
      </c>
      <c r="C30" s="8">
        <v>0</v>
      </c>
      <c r="D30" s="8">
        <v>0</v>
      </c>
      <c r="E30" s="8">
        <v>141.6</v>
      </c>
      <c r="F30" s="8">
        <v>0</v>
      </c>
      <c r="G30" s="8">
        <v>-110.02</v>
      </c>
      <c r="H30" s="8">
        <v>-17.47</v>
      </c>
      <c r="I30" s="8">
        <v>-314.5</v>
      </c>
    </row>
    <row r="31" spans="1:9" x14ac:dyDescent="0.3">
      <c r="A31" s="1"/>
      <c r="B31" s="4" t="s">
        <v>90</v>
      </c>
      <c r="C31" s="8">
        <v>76.53</v>
      </c>
      <c r="D31" s="8">
        <v>7.11</v>
      </c>
      <c r="E31" s="8">
        <v>-6.7</v>
      </c>
      <c r="F31" s="8">
        <v>2.81</v>
      </c>
      <c r="G31" s="8">
        <v>-61.54</v>
      </c>
      <c r="H31" s="8">
        <v>-9.1999999999999993</v>
      </c>
      <c r="I31" s="8">
        <v>82.9</v>
      </c>
    </row>
    <row r="32" spans="1:9" x14ac:dyDescent="0.3">
      <c r="A32" s="1"/>
      <c r="B32" s="16" t="s">
        <v>91</v>
      </c>
      <c r="C32" s="9">
        <f>SUM(C27:C31)</f>
        <v>-13723.23</v>
      </c>
      <c r="D32" s="9">
        <f t="shared" ref="D32:I32" si="1">SUM(D27:D31)</f>
        <v>-9875.1099999999988</v>
      </c>
      <c r="E32" s="9">
        <f t="shared" si="1"/>
        <v>-205.28</v>
      </c>
      <c r="F32" s="9">
        <f t="shared" si="1"/>
        <v>-625.17000000000007</v>
      </c>
      <c r="G32" s="9">
        <f t="shared" si="1"/>
        <v>-642.4</v>
      </c>
      <c r="H32" s="9">
        <f t="shared" si="1"/>
        <v>-21220.960000000003</v>
      </c>
      <c r="I32" s="9">
        <f t="shared" si="1"/>
        <v>-522.66999999999996</v>
      </c>
    </row>
    <row r="33" spans="1:9" x14ac:dyDescent="0.3">
      <c r="A33" s="1"/>
      <c r="B33" s="4"/>
      <c r="C33" s="10"/>
      <c r="D33" s="10"/>
      <c r="E33" s="10"/>
      <c r="F33" s="10"/>
      <c r="G33" s="10"/>
      <c r="H33" s="10"/>
      <c r="I33" s="10"/>
    </row>
    <row r="34" spans="1:9" x14ac:dyDescent="0.3">
      <c r="A34" s="1"/>
      <c r="B34" s="5" t="s">
        <v>92</v>
      </c>
      <c r="C34" s="10"/>
      <c r="D34" s="10"/>
      <c r="E34" s="10"/>
      <c r="F34" s="10"/>
      <c r="G34" s="10"/>
      <c r="H34" s="10"/>
      <c r="I34" s="10"/>
    </row>
    <row r="35" spans="1:9" x14ac:dyDescent="0.3">
      <c r="A35" s="1"/>
      <c r="B35" s="4" t="s">
        <v>93</v>
      </c>
      <c r="C35" s="8">
        <v>25621.38</v>
      </c>
      <c r="D35" s="8">
        <v>24714.02</v>
      </c>
      <c r="E35" s="8">
        <v>8298.5</v>
      </c>
      <c r="F35" s="8">
        <v>1813.67</v>
      </c>
      <c r="G35" s="8">
        <v>0</v>
      </c>
      <c r="H35" s="8">
        <v>36751.730000000003</v>
      </c>
      <c r="I35" s="8">
        <v>14117.13</v>
      </c>
    </row>
    <row r="36" spans="1:9" x14ac:dyDescent="0.3">
      <c r="A36" s="1"/>
      <c r="B36" s="4" t="s">
        <v>94</v>
      </c>
      <c r="C36" s="8">
        <v>-14949.44</v>
      </c>
      <c r="D36" s="8">
        <v>-16724.32</v>
      </c>
      <c r="E36" s="8">
        <v>-9631.59</v>
      </c>
      <c r="F36" s="8">
        <v>-2212.9499999999998</v>
      </c>
      <c r="G36" s="8">
        <v>-375.74</v>
      </c>
      <c r="H36" s="8">
        <v>-18036.439999999999</v>
      </c>
      <c r="I36" s="8">
        <v>-16651.12</v>
      </c>
    </row>
    <row r="37" spans="1:9" x14ac:dyDescent="0.3">
      <c r="A37" s="1"/>
      <c r="B37" s="4" t="s">
        <v>95</v>
      </c>
      <c r="C37" s="8">
        <v>1104.3</v>
      </c>
      <c r="D37" s="8">
        <v>-1142.27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</row>
    <row r="38" spans="1:9" x14ac:dyDescent="0.3">
      <c r="A38" s="1"/>
      <c r="B38" s="4" t="s">
        <v>96</v>
      </c>
      <c r="C38" s="8">
        <v>225.13</v>
      </c>
      <c r="D38" s="8">
        <v>245.34</v>
      </c>
      <c r="E38" s="8">
        <v>142.44</v>
      </c>
      <c r="F38" s="8">
        <v>106.85</v>
      </c>
      <c r="G38" s="8">
        <v>113.75</v>
      </c>
      <c r="H38" s="8">
        <v>174.77</v>
      </c>
      <c r="I38" s="8">
        <v>199.15</v>
      </c>
    </row>
    <row r="39" spans="1:9" x14ac:dyDescent="0.3">
      <c r="A39" s="1"/>
      <c r="B39" s="4" t="s">
        <v>97</v>
      </c>
      <c r="C39" s="8">
        <v>-4836.32</v>
      </c>
      <c r="D39" s="8">
        <v>0</v>
      </c>
      <c r="E39" s="8">
        <v>0</v>
      </c>
      <c r="F39" s="8">
        <v>-6561.07</v>
      </c>
      <c r="G39" s="8">
        <v>-5430.04</v>
      </c>
      <c r="H39" s="8">
        <v>-6600.85</v>
      </c>
      <c r="I39" s="8">
        <v>-2207.77</v>
      </c>
    </row>
    <row r="40" spans="1:9" x14ac:dyDescent="0.3">
      <c r="A40" s="1"/>
      <c r="B40" s="4" t="s">
        <v>98</v>
      </c>
      <c r="C40" s="8">
        <v>-864.93</v>
      </c>
      <c r="D40" s="8">
        <v>-680.03</v>
      </c>
      <c r="E40" s="8">
        <v>-1088.42</v>
      </c>
      <c r="F40" s="8">
        <v>-1363.76</v>
      </c>
      <c r="G40" s="8">
        <v>-1735.11</v>
      </c>
      <c r="H40" s="8">
        <v>-4797.9399999999996</v>
      </c>
      <c r="I40" s="8">
        <v>-3478.37</v>
      </c>
    </row>
    <row r="41" spans="1:9" x14ac:dyDescent="0.3">
      <c r="A41" s="1"/>
      <c r="B41" s="4" t="s">
        <v>99</v>
      </c>
      <c r="C41" s="8">
        <v>-3768.5</v>
      </c>
      <c r="D41" s="8">
        <v>-4919.34</v>
      </c>
      <c r="E41" s="8">
        <v>-5205</v>
      </c>
      <c r="F41" s="8">
        <v>-6591.06</v>
      </c>
      <c r="G41" s="8">
        <v>-7127.86</v>
      </c>
      <c r="H41" s="8">
        <v>-9027.42</v>
      </c>
      <c r="I41" s="8">
        <v>-10040.41</v>
      </c>
    </row>
    <row r="42" spans="1:9" x14ac:dyDescent="0.3">
      <c r="A42" s="1"/>
      <c r="B42" s="4" t="s">
        <v>100</v>
      </c>
      <c r="C42" s="8">
        <v>3241.72</v>
      </c>
      <c r="D42" s="8">
        <v>-61.34</v>
      </c>
      <c r="E42" s="8">
        <v>-35.19</v>
      </c>
      <c r="F42" s="8">
        <v>-15.93</v>
      </c>
      <c r="G42" s="8">
        <v>-11.19</v>
      </c>
      <c r="H42" s="8">
        <v>-57.95</v>
      </c>
      <c r="I42" s="8">
        <v>-75.7</v>
      </c>
    </row>
    <row r="43" spans="1:9" x14ac:dyDescent="0.3">
      <c r="A43" s="1"/>
      <c r="B43" s="16" t="s">
        <v>101</v>
      </c>
      <c r="C43" s="9">
        <f>SUM(C35:C42)</f>
        <v>5773.3399999999983</v>
      </c>
      <c r="D43" s="9">
        <f t="shared" ref="D43:I43" si="2">SUM(D35:D42)</f>
        <v>1432.0600000000006</v>
      </c>
      <c r="E43" s="9">
        <f t="shared" si="2"/>
        <v>-7519.2599999999993</v>
      </c>
      <c r="F43" s="9">
        <f t="shared" si="2"/>
        <v>-14824.25</v>
      </c>
      <c r="G43" s="9">
        <f t="shared" si="2"/>
        <v>-14566.19</v>
      </c>
      <c r="H43" s="9">
        <f t="shared" si="2"/>
        <v>-1594.0999999999951</v>
      </c>
      <c r="I43" s="9">
        <f t="shared" si="2"/>
        <v>-18137.09</v>
      </c>
    </row>
    <row r="44" spans="1:9" x14ac:dyDescent="0.3">
      <c r="A44" s="1"/>
      <c r="B44" s="4" t="s">
        <v>108</v>
      </c>
      <c r="C44" s="14">
        <f>C48-C47-C24-C32-C43</f>
        <v>-6.2599999999938518</v>
      </c>
      <c r="D44" s="14">
        <f t="shared" ref="D44:I44" si="3">D48-D47-D24-D32-D43</f>
        <v>-78.41000000000281</v>
      </c>
      <c r="E44" s="14">
        <f t="shared" si="3"/>
        <v>123.11000000000058</v>
      </c>
      <c r="F44" s="14">
        <f t="shared" si="3"/>
        <v>16.800000000001091</v>
      </c>
      <c r="G44" s="14">
        <f t="shared" si="3"/>
        <v>25.260000000002037</v>
      </c>
      <c r="H44" s="14">
        <f t="shared" si="3"/>
        <v>-266.4799999999957</v>
      </c>
      <c r="I44" s="14">
        <f t="shared" si="3"/>
        <v>-233.09999999999491</v>
      </c>
    </row>
    <row r="45" spans="1:9" x14ac:dyDescent="0.3">
      <c r="A45" s="1"/>
      <c r="B45" s="16" t="s">
        <v>102</v>
      </c>
      <c r="C45" s="9">
        <f>C24+C32+C43+C44</f>
        <v>683.39000000000033</v>
      </c>
      <c r="D45" s="9">
        <f t="shared" ref="D45:I45" si="4">D24+D32+D43+D44</f>
        <v>2200.5699999999997</v>
      </c>
      <c r="E45" s="9">
        <f t="shared" si="4"/>
        <v>3931.329999999999</v>
      </c>
      <c r="F45" s="9">
        <f t="shared" si="4"/>
        <v>253.93999999999869</v>
      </c>
      <c r="G45" s="9">
        <f t="shared" si="4"/>
        <v>1678.3400000000001</v>
      </c>
      <c r="H45" s="9">
        <f t="shared" si="4"/>
        <v>-4468.34</v>
      </c>
      <c r="I45" s="9">
        <f t="shared" si="4"/>
        <v>5921.6100000000006</v>
      </c>
    </row>
    <row r="46" spans="1:9" x14ac:dyDescent="0.3">
      <c r="A46" s="1"/>
      <c r="B46" s="4"/>
      <c r="C46" s="10"/>
      <c r="D46" s="10"/>
      <c r="E46" s="10"/>
      <c r="F46" s="10"/>
      <c r="G46" s="10"/>
      <c r="H46" s="10"/>
      <c r="I46" s="10"/>
    </row>
    <row r="47" spans="1:9" x14ac:dyDescent="0.3">
      <c r="A47" s="1"/>
      <c r="B47" s="4" t="s">
        <v>103</v>
      </c>
      <c r="C47" s="8">
        <v>3844.17</v>
      </c>
      <c r="D47" s="8">
        <v>4340.17</v>
      </c>
      <c r="E47" s="8">
        <v>6589.42</v>
      </c>
      <c r="F47" s="8">
        <v>12208.12</v>
      </c>
      <c r="G47" s="8">
        <v>11753.11</v>
      </c>
      <c r="H47" s="8">
        <v>13096.73</v>
      </c>
      <c r="I47" s="8">
        <v>8104.72</v>
      </c>
    </row>
    <row r="48" spans="1:9" x14ac:dyDescent="0.3">
      <c r="A48" s="1"/>
      <c r="B48" s="16" t="s">
        <v>104</v>
      </c>
      <c r="C48" s="15">
        <f>'Balance Sheet'!C10</f>
        <v>4527.5600000000004</v>
      </c>
      <c r="D48" s="15">
        <f>'Balance Sheet'!D10</f>
        <v>6540.74</v>
      </c>
      <c r="E48" s="15">
        <f>'Balance Sheet'!E10</f>
        <v>10520.75</v>
      </c>
      <c r="F48" s="15">
        <f>'Balance Sheet'!F10</f>
        <v>12462.06</v>
      </c>
      <c r="G48" s="15">
        <f>'Balance Sheet'!G10</f>
        <v>13431.45</v>
      </c>
      <c r="H48" s="15">
        <f>'Balance Sheet'!H10</f>
        <v>8628.39</v>
      </c>
      <c r="I48" s="15">
        <f>'Balance Sheet'!I10</f>
        <v>14026.33</v>
      </c>
    </row>
    <row r="49" spans="1:9" x14ac:dyDescent="0.3">
      <c r="A49" s="1"/>
      <c r="B49" s="4"/>
      <c r="C49" s="10"/>
      <c r="D49" s="10"/>
      <c r="E49" s="10"/>
      <c r="F49" s="10"/>
      <c r="G49" s="10"/>
      <c r="H49" s="10"/>
      <c r="I49" s="10"/>
    </row>
    <row r="50" spans="1:9" x14ac:dyDescent="0.3">
      <c r="A50" s="1"/>
      <c r="B50" s="5" t="s">
        <v>105</v>
      </c>
      <c r="C50" s="10"/>
      <c r="D50" s="10"/>
      <c r="E50" s="10"/>
      <c r="F50" s="10"/>
      <c r="G50" s="10"/>
      <c r="H50" s="10"/>
      <c r="I50" s="10"/>
    </row>
    <row r="51" spans="1:9" x14ac:dyDescent="0.3">
      <c r="A51" s="1"/>
      <c r="B51" s="4" t="s">
        <v>106</v>
      </c>
      <c r="C51" s="8">
        <v>1145.23</v>
      </c>
      <c r="D51" s="8">
        <v>1251.6099999999999</v>
      </c>
      <c r="E51" s="8">
        <v>1311.3</v>
      </c>
      <c r="F51" s="8">
        <v>1299.0899999999999</v>
      </c>
      <c r="G51" s="8">
        <v>1401.33</v>
      </c>
      <c r="H51" s="8">
        <v>2989.52</v>
      </c>
      <c r="I51" s="8">
        <v>2407.8200000000002</v>
      </c>
    </row>
    <row r="52" spans="1:9" x14ac:dyDescent="0.3">
      <c r="A52" s="1"/>
      <c r="B52" s="4" t="s">
        <v>107</v>
      </c>
      <c r="C52" s="8">
        <v>659.38</v>
      </c>
      <c r="D52" s="8">
        <v>445.35</v>
      </c>
      <c r="E52" s="8">
        <v>649.37</v>
      </c>
      <c r="F52" s="8">
        <v>851.06</v>
      </c>
      <c r="G52" s="8">
        <v>1661.46</v>
      </c>
      <c r="H52" s="8">
        <v>2902.13</v>
      </c>
      <c r="I52" s="8">
        <v>2333.0300000000002</v>
      </c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1809-AD95-4727-B7DA-8A36A1DDEE9F}">
  <dimension ref="A2:M23"/>
  <sheetViews>
    <sheetView showGridLines="0" workbookViewId="0"/>
  </sheetViews>
  <sheetFormatPr defaultRowHeight="15.6" x14ac:dyDescent="0.3"/>
  <sheetData>
    <row r="2" spans="1:13" ht="23.4" x14ac:dyDescent="0.45">
      <c r="B2" s="22" t="s">
        <v>120</v>
      </c>
    </row>
    <row r="3" spans="1:13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3" x14ac:dyDescent="0.3">
      <c r="I5" s="24" t="s">
        <v>111</v>
      </c>
      <c r="J5" s="25"/>
      <c r="K5" s="26"/>
    </row>
    <row r="6" spans="1:13" x14ac:dyDescent="0.3">
      <c r="B6" t="s">
        <v>112</v>
      </c>
      <c r="E6" s="27"/>
      <c r="F6" s="28" t="s">
        <v>113</v>
      </c>
      <c r="G6" s="29"/>
      <c r="I6" s="30" t="s">
        <v>114</v>
      </c>
      <c r="J6" s="31" t="s">
        <v>115</v>
      </c>
      <c r="K6" s="32" t="s">
        <v>113</v>
      </c>
    </row>
    <row r="7" spans="1:13" x14ac:dyDescent="0.3">
      <c r="B7" t="s">
        <v>116</v>
      </c>
      <c r="E7" s="27"/>
      <c r="F7" s="28" t="s">
        <v>121</v>
      </c>
      <c r="G7" s="29"/>
    </row>
    <row r="8" spans="1:13" x14ac:dyDescent="0.3">
      <c r="B8" t="s">
        <v>117</v>
      </c>
      <c r="E8" s="27"/>
      <c r="F8" s="28" t="s">
        <v>122</v>
      </c>
      <c r="G8" s="29"/>
    </row>
    <row r="9" spans="1:13" x14ac:dyDescent="0.3">
      <c r="B9" t="s">
        <v>118</v>
      </c>
      <c r="E9" s="27"/>
      <c r="F9" s="28" t="s">
        <v>123</v>
      </c>
      <c r="G9" s="29"/>
    </row>
    <row r="11" spans="1:13" x14ac:dyDescent="0.3">
      <c r="B11" t="s">
        <v>146</v>
      </c>
      <c r="E11" s="27"/>
      <c r="F11" s="28">
        <v>319.20999999999998</v>
      </c>
      <c r="G11" s="29"/>
    </row>
    <row r="12" spans="1:13" x14ac:dyDescent="0.3">
      <c r="B12" t="s">
        <v>119</v>
      </c>
      <c r="E12" s="27"/>
      <c r="F12" s="33">
        <v>4730</v>
      </c>
      <c r="G12" s="29"/>
    </row>
    <row r="22" spans="1:13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</sheetData>
  <dataValidations count="1">
    <dataValidation type="list" allowBlank="1" showInputMessage="1" showErrorMessage="1" sqref="G10 F6" xr:uid="{68E8019D-FDD9-4D35-9B6B-67148C183D92}">
      <formula1>"Base,Bull,Bear"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29C6-919B-482D-ADAE-3C3A03935230}">
  <dimension ref="A1:O128"/>
  <sheetViews>
    <sheetView showGridLines="0" zoomScaleNormal="100" workbookViewId="0"/>
  </sheetViews>
  <sheetFormatPr defaultRowHeight="15.6" x14ac:dyDescent="0.3"/>
  <cols>
    <col min="1" max="1" width="2.77734375" customWidth="1"/>
    <col min="2" max="2" width="42.5546875" customWidth="1"/>
    <col min="3" max="15" width="15.77734375" customWidth="1"/>
  </cols>
  <sheetData>
    <row r="1" spans="1:15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x14ac:dyDescent="0.3">
      <c r="A2" s="72"/>
      <c r="B2" s="73" t="s">
        <v>147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x14ac:dyDescent="0.3">
      <c r="A3" s="72"/>
      <c r="B3" s="72" t="s">
        <v>125</v>
      </c>
      <c r="C3" s="87" t="s">
        <v>148</v>
      </c>
      <c r="D3" s="74" t="str">
        <f>Control!F6</f>
        <v>Bear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6.2" thickBot="1" x14ac:dyDescent="0.35">
      <c r="A5" s="72"/>
      <c r="B5" s="100" t="s">
        <v>149</v>
      </c>
      <c r="C5" s="75" t="s">
        <v>185</v>
      </c>
      <c r="D5" s="75" t="s">
        <v>150</v>
      </c>
      <c r="E5" s="75" t="s">
        <v>151</v>
      </c>
      <c r="F5" s="75" t="s">
        <v>152</v>
      </c>
      <c r="G5" s="75" t="s">
        <v>153</v>
      </c>
      <c r="H5" s="75" t="s">
        <v>154</v>
      </c>
      <c r="I5" s="110" t="s">
        <v>155</v>
      </c>
      <c r="J5" s="76" t="s">
        <v>156</v>
      </c>
      <c r="K5" s="76" t="s">
        <v>157</v>
      </c>
      <c r="L5" s="76" t="s">
        <v>158</v>
      </c>
      <c r="M5" s="76" t="s">
        <v>159</v>
      </c>
      <c r="N5" s="76" t="s">
        <v>160</v>
      </c>
      <c r="O5" s="76" t="s">
        <v>161</v>
      </c>
    </row>
    <row r="6" spans="1:15" x14ac:dyDescent="0.3">
      <c r="A6" s="72"/>
      <c r="B6" s="72"/>
      <c r="C6" s="72"/>
      <c r="D6" s="72"/>
      <c r="E6" s="72"/>
      <c r="F6" s="72"/>
      <c r="G6" s="72"/>
      <c r="H6" s="72"/>
      <c r="I6" s="104"/>
      <c r="J6" s="72"/>
      <c r="K6" s="72"/>
      <c r="L6" s="72"/>
      <c r="M6" s="72"/>
      <c r="N6" s="72"/>
      <c r="O6" s="72"/>
    </row>
    <row r="7" spans="1:15" x14ac:dyDescent="0.3">
      <c r="A7" s="72"/>
      <c r="B7" s="212" t="s">
        <v>253</v>
      </c>
      <c r="C7" s="242">
        <f>'Revenue Build'!C52</f>
        <v>0</v>
      </c>
      <c r="D7" s="242">
        <f>'Revenue Build'!D52</f>
        <v>0</v>
      </c>
      <c r="E7" s="242">
        <f>'Revenue Build'!E52</f>
        <v>0</v>
      </c>
      <c r="F7" s="242">
        <f>'Revenue Build'!F52</f>
        <v>0</v>
      </c>
      <c r="G7" s="242">
        <f>'Revenue Build'!G52</f>
        <v>4200</v>
      </c>
      <c r="H7" s="242">
        <f>'Revenue Build'!H52</f>
        <v>12200</v>
      </c>
      <c r="I7" s="242">
        <f>'Revenue Build'!I52</f>
        <v>20779</v>
      </c>
      <c r="J7" s="243">
        <f>'Revenue Build'!J52</f>
        <v>34400</v>
      </c>
      <c r="K7" s="244">
        <f>'Revenue Build'!K52</f>
        <v>69000</v>
      </c>
      <c r="L7" s="244">
        <f>'Revenue Build'!L52</f>
        <v>88500</v>
      </c>
      <c r="M7" s="244">
        <f>'Revenue Build'!M52</f>
        <v>96500</v>
      </c>
      <c r="N7" s="244">
        <f>'Revenue Build'!N52</f>
        <v>101000</v>
      </c>
      <c r="O7" s="244">
        <f>'Revenue Build'!O52</f>
        <v>101000</v>
      </c>
    </row>
    <row r="8" spans="1:15" x14ac:dyDescent="0.3">
      <c r="A8" s="72"/>
      <c r="B8" s="213" t="s">
        <v>238</v>
      </c>
      <c r="C8" s="214"/>
      <c r="D8" s="245"/>
      <c r="E8" s="245"/>
      <c r="F8" s="245"/>
      <c r="G8" s="245"/>
      <c r="H8" s="245">
        <f t="shared" ref="H8:O8" si="0">IF(G7=0,"n/a",H7/G7-1)</f>
        <v>1.9047619047619047</v>
      </c>
      <c r="I8" s="245">
        <f t="shared" si="0"/>
        <v>0.70319672131147537</v>
      </c>
      <c r="J8" s="246">
        <f t="shared" si="0"/>
        <v>0.65551758987439235</v>
      </c>
      <c r="K8" s="245">
        <f t="shared" si="0"/>
        <v>1.0058139534883721</v>
      </c>
      <c r="L8" s="245">
        <f t="shared" si="0"/>
        <v>0.28260869565217384</v>
      </c>
      <c r="M8" s="245">
        <f t="shared" si="0"/>
        <v>9.0395480225988756E-2</v>
      </c>
      <c r="N8" s="245">
        <f t="shared" si="0"/>
        <v>4.663212435233155E-2</v>
      </c>
      <c r="O8" s="245">
        <f t="shared" si="0"/>
        <v>0</v>
      </c>
    </row>
    <row r="9" spans="1:15" x14ac:dyDescent="0.3">
      <c r="A9" s="72"/>
      <c r="B9" s="214"/>
      <c r="C9" s="214"/>
      <c r="D9" s="214"/>
      <c r="E9" s="214"/>
      <c r="F9" s="214"/>
      <c r="G9" s="214"/>
      <c r="H9" s="214"/>
      <c r="I9" s="214"/>
      <c r="J9" s="215"/>
      <c r="K9" s="214"/>
      <c r="L9" s="214"/>
      <c r="M9" s="214"/>
      <c r="N9" s="214"/>
      <c r="O9" s="214"/>
    </row>
    <row r="10" spans="1:15" x14ac:dyDescent="0.3">
      <c r="A10" s="72"/>
      <c r="B10" s="212" t="s">
        <v>236</v>
      </c>
      <c r="C10" s="242">
        <f>'Revenue Build'!C82</f>
        <v>15520</v>
      </c>
      <c r="D10" s="242">
        <f>'Revenue Build'!D82</f>
        <v>15349</v>
      </c>
      <c r="E10" s="242">
        <f>'Revenue Build'!E82</f>
        <v>17079</v>
      </c>
      <c r="F10" s="242">
        <f>'Revenue Build'!F82</f>
        <v>24199</v>
      </c>
      <c r="G10" s="242">
        <f>'Revenue Build'!G82</f>
        <v>22076</v>
      </c>
      <c r="H10" s="242">
        <f>'Revenue Build'!H82</f>
        <v>18099</v>
      </c>
      <c r="I10" s="242">
        <f>'Revenue Build'!I82</f>
        <v>16579</v>
      </c>
      <c r="J10" s="243">
        <f>'Revenue Build'!J82</f>
        <v>16319</v>
      </c>
      <c r="K10" s="244">
        <f>'Revenue Build'!K82</f>
        <v>16027.978000000001</v>
      </c>
      <c r="L10" s="244">
        <f>'Revenue Build'!L82</f>
        <v>15914.747899999998</v>
      </c>
      <c r="M10" s="244">
        <f>'Revenue Build'!M82</f>
        <v>15914.789043000001</v>
      </c>
      <c r="N10" s="244">
        <f>'Revenue Build'!N82</f>
        <v>15928.338571230001</v>
      </c>
      <c r="O10" s="244">
        <f>'Revenue Build'!O82</f>
        <v>16003.713650390298</v>
      </c>
    </row>
    <row r="11" spans="1:15" x14ac:dyDescent="0.3">
      <c r="A11" s="72"/>
      <c r="B11" s="213" t="s">
        <v>238</v>
      </c>
      <c r="C11" s="214"/>
      <c r="D11" s="245">
        <f t="shared" ref="D11:O11" si="1">D10/C10-1</f>
        <v>-1.1018041237113363E-2</v>
      </c>
      <c r="E11" s="245">
        <f t="shared" si="1"/>
        <v>0.11271092579321129</v>
      </c>
      <c r="F11" s="245">
        <f t="shared" si="1"/>
        <v>0.41688623455705831</v>
      </c>
      <c r="G11" s="245">
        <f t="shared" si="1"/>
        <v>-8.773089797099054E-2</v>
      </c>
      <c r="H11" s="245">
        <f t="shared" si="1"/>
        <v>-0.18015038956332674</v>
      </c>
      <c r="I11" s="245">
        <f t="shared" si="1"/>
        <v>-8.3982540471849276E-2</v>
      </c>
      <c r="J11" s="246">
        <f t="shared" si="1"/>
        <v>-1.5682489896857499E-2</v>
      </c>
      <c r="K11" s="245">
        <f t="shared" si="1"/>
        <v>-1.783332312028918E-2</v>
      </c>
      <c r="L11" s="245">
        <f t="shared" si="1"/>
        <v>-7.0645280396568477E-3</v>
      </c>
      <c r="M11" s="245">
        <f t="shared" si="1"/>
        <v>2.5852121730007838E-6</v>
      </c>
      <c r="N11" s="245">
        <f t="shared" si="1"/>
        <v>8.5137969428239479E-4</v>
      </c>
      <c r="O11" s="245">
        <f t="shared" si="1"/>
        <v>4.7321369283574999E-3</v>
      </c>
    </row>
    <row r="12" spans="1:15" x14ac:dyDescent="0.3">
      <c r="A12" s="72"/>
      <c r="B12" s="214"/>
      <c r="C12" s="214"/>
      <c r="D12" s="214"/>
      <c r="E12" s="214"/>
      <c r="F12" s="214"/>
      <c r="G12" s="214"/>
      <c r="H12" s="214"/>
      <c r="I12" s="214"/>
      <c r="J12" s="215"/>
      <c r="K12" s="214"/>
      <c r="L12" s="214"/>
      <c r="M12" s="214"/>
      <c r="N12" s="214"/>
      <c r="O12" s="214"/>
    </row>
    <row r="13" spans="1:15" x14ac:dyDescent="0.3">
      <c r="A13" s="72"/>
      <c r="B13" s="212" t="s">
        <v>254</v>
      </c>
      <c r="C13" s="242">
        <f>'Revenue Build'!C97</f>
        <v>4588</v>
      </c>
      <c r="D13" s="242">
        <f>'Revenue Build'!D97</f>
        <v>5886</v>
      </c>
      <c r="E13" s="242">
        <f>'Revenue Build'!E97</f>
        <v>5921</v>
      </c>
      <c r="F13" s="242">
        <f>'Revenue Build'!F97</f>
        <v>6922</v>
      </c>
      <c r="G13" s="242">
        <f>'Revenue Build'!G97</f>
        <v>7120</v>
      </c>
      <c r="H13" s="242">
        <f>'Revenue Build'!H97</f>
        <v>19757</v>
      </c>
      <c r="I13" s="242">
        <f>'Revenue Build'!I97</f>
        <v>24357</v>
      </c>
      <c r="J13" s="243">
        <f>'Revenue Build'!J97</f>
        <v>25837</v>
      </c>
      <c r="K13" s="244">
        <f>'Revenue Build'!K97</f>
        <v>26836</v>
      </c>
      <c r="L13" s="244">
        <f>'Revenue Build'!L97</f>
        <v>27675.16</v>
      </c>
      <c r="M13" s="244">
        <f>'Revenue Build'!M97</f>
        <v>28329.7048</v>
      </c>
      <c r="N13" s="244">
        <f>'Revenue Build'!N97</f>
        <v>29003.885944000001</v>
      </c>
      <c r="O13" s="244">
        <f>'Revenue Build'!O97</f>
        <v>29466.82366288</v>
      </c>
    </row>
    <row r="14" spans="1:15" x14ac:dyDescent="0.3">
      <c r="A14" s="72"/>
      <c r="B14" s="213" t="s">
        <v>238</v>
      </c>
      <c r="C14" s="214"/>
      <c r="D14" s="245">
        <f t="shared" ref="D14:O14" si="2">D13/C13-1</f>
        <v>0.28291194420226673</v>
      </c>
      <c r="E14" s="245">
        <f t="shared" si="2"/>
        <v>5.9463132857628942E-3</v>
      </c>
      <c r="F14" s="245">
        <f t="shared" si="2"/>
        <v>0.16905928052693797</v>
      </c>
      <c r="G14" s="245">
        <f t="shared" si="2"/>
        <v>2.8604449581046021E-2</v>
      </c>
      <c r="H14" s="245">
        <f t="shared" si="2"/>
        <v>1.7748595505617977</v>
      </c>
      <c r="I14" s="245">
        <f t="shared" si="2"/>
        <v>0.23282887077997683</v>
      </c>
      <c r="J14" s="246">
        <f t="shared" si="2"/>
        <v>6.076281972328279E-2</v>
      </c>
      <c r="K14" s="245">
        <f t="shared" si="2"/>
        <v>3.8665479738359654E-2</v>
      </c>
      <c r="L14" s="245">
        <f t="shared" si="2"/>
        <v>3.1269935906990565E-2</v>
      </c>
      <c r="M14" s="245">
        <f t="shared" si="2"/>
        <v>2.3650985215623033E-2</v>
      </c>
      <c r="N14" s="245">
        <f t="shared" si="2"/>
        <v>2.3797676282175884E-2</v>
      </c>
      <c r="O14" s="245">
        <f t="shared" si="2"/>
        <v>1.5961230842440388E-2</v>
      </c>
    </row>
    <row r="15" spans="1:15" x14ac:dyDescent="0.3">
      <c r="A15" s="72"/>
      <c r="B15" s="214"/>
      <c r="C15" s="214"/>
      <c r="D15" s="214"/>
      <c r="E15" s="214"/>
      <c r="F15" s="214"/>
      <c r="G15" s="214"/>
      <c r="H15" s="214"/>
      <c r="I15" s="214"/>
      <c r="J15" s="215"/>
      <c r="K15" s="214"/>
      <c r="L15" s="214"/>
      <c r="M15" s="214"/>
      <c r="N15" s="214"/>
      <c r="O15" s="214"/>
    </row>
    <row r="16" spans="1:15" x14ac:dyDescent="0.3">
      <c r="A16" s="72"/>
      <c r="B16" s="214"/>
      <c r="C16" s="214"/>
      <c r="D16" s="214"/>
      <c r="E16" s="214"/>
      <c r="F16" s="214"/>
      <c r="G16" s="214"/>
      <c r="H16" s="214"/>
      <c r="I16" s="214"/>
      <c r="J16" s="215"/>
      <c r="K16" s="214"/>
      <c r="L16" s="214"/>
      <c r="M16" s="214"/>
      <c r="N16" s="214"/>
      <c r="O16" s="214"/>
    </row>
    <row r="17" spans="1:15" x14ac:dyDescent="0.3">
      <c r="A17" s="72"/>
      <c r="B17" s="214"/>
      <c r="C17" s="214"/>
      <c r="D17" s="214"/>
      <c r="E17" s="214"/>
      <c r="F17" s="214"/>
      <c r="G17" s="214"/>
      <c r="H17" s="214"/>
      <c r="I17" s="214"/>
      <c r="J17" s="215"/>
      <c r="K17" s="214"/>
      <c r="L17" s="214"/>
      <c r="M17" s="214"/>
      <c r="N17" s="214"/>
      <c r="O17" s="214"/>
    </row>
    <row r="18" spans="1:15" x14ac:dyDescent="0.3">
      <c r="A18" s="72"/>
      <c r="B18" s="216"/>
      <c r="C18" s="216"/>
      <c r="D18" s="216"/>
      <c r="E18" s="216"/>
      <c r="F18" s="216"/>
      <c r="G18" s="216"/>
      <c r="H18" s="216"/>
      <c r="I18" s="216"/>
      <c r="J18" s="217"/>
      <c r="K18" s="216"/>
      <c r="L18" s="216"/>
      <c r="M18" s="216"/>
      <c r="N18" s="216"/>
      <c r="O18" s="216"/>
    </row>
    <row r="19" spans="1:15" x14ac:dyDescent="0.3">
      <c r="A19" s="72"/>
      <c r="B19" s="208" t="s">
        <v>6</v>
      </c>
      <c r="C19" s="209">
        <f>'Income Statement'!C11</f>
        <v>20107.89</v>
      </c>
      <c r="D19" s="209">
        <f>'Income Statement'!D11</f>
        <v>21234.75</v>
      </c>
      <c r="E19" s="209">
        <f>'Income Statement'!E11</f>
        <v>23000.199999999997</v>
      </c>
      <c r="F19" s="209">
        <f>'Income Statement'!F11</f>
        <v>31121.02</v>
      </c>
      <c r="G19" s="209">
        <f>'Income Statement'!G11</f>
        <v>33396.07</v>
      </c>
      <c r="H19" s="209">
        <f>'Income Statement'!H11</f>
        <v>47440.399999999994</v>
      </c>
      <c r="I19" s="210">
        <f>'Income Statement'!I11</f>
        <v>57570.619999999995</v>
      </c>
      <c r="J19" s="211">
        <f>'Revenue Build'!J100</f>
        <v>76556</v>
      </c>
      <c r="K19" s="211">
        <f>'Revenue Build'!K100</f>
        <v>111863.978</v>
      </c>
      <c r="L19" s="211">
        <f>'Revenue Build'!L100</f>
        <v>132089.90789999999</v>
      </c>
      <c r="M19" s="211">
        <f>'Revenue Build'!M100</f>
        <v>140744.493843</v>
      </c>
      <c r="N19" s="211">
        <f>'Revenue Build'!N100</f>
        <v>145932.22451523002</v>
      </c>
      <c r="O19" s="211">
        <f>'Revenue Build'!O100</f>
        <v>146470.5373132703</v>
      </c>
    </row>
    <row r="20" spans="1:15" x14ac:dyDescent="0.3">
      <c r="A20" s="72"/>
      <c r="B20" s="72" t="s">
        <v>162</v>
      </c>
      <c r="C20" s="81"/>
      <c r="D20" s="82">
        <f t="shared" ref="D20:O20" si="3">D19/C19-1</f>
        <v>5.6040688505855085E-2</v>
      </c>
      <c r="E20" s="82">
        <f t="shared" si="3"/>
        <v>8.3139664936012769E-2</v>
      </c>
      <c r="F20" s="82">
        <f t="shared" si="3"/>
        <v>0.35307606020817239</v>
      </c>
      <c r="G20" s="82">
        <f t="shared" si="3"/>
        <v>7.3103323734247772E-2</v>
      </c>
      <c r="H20" s="82">
        <f t="shared" si="3"/>
        <v>0.42053840466857317</v>
      </c>
      <c r="I20" s="112">
        <f t="shared" si="3"/>
        <v>0.21353572060943837</v>
      </c>
      <c r="J20" s="82">
        <f t="shared" si="3"/>
        <v>0.32977550007278023</v>
      </c>
      <c r="K20" s="82">
        <f t="shared" si="3"/>
        <v>0.46120458226657624</v>
      </c>
      <c r="L20" s="82">
        <f t="shared" si="3"/>
        <v>0.18080824821016095</v>
      </c>
      <c r="M20" s="82">
        <f t="shared" si="3"/>
        <v>6.5520417726023794E-2</v>
      </c>
      <c r="N20" s="82">
        <f t="shared" si="3"/>
        <v>3.6859208702096025E-2</v>
      </c>
      <c r="O20" s="82">
        <f t="shared" si="3"/>
        <v>3.6887863515306929E-3</v>
      </c>
    </row>
    <row r="21" spans="1:15" x14ac:dyDescent="0.3">
      <c r="A21" s="72"/>
      <c r="B21" s="72"/>
      <c r="C21" s="81"/>
      <c r="D21" s="81"/>
      <c r="E21" s="81"/>
      <c r="F21" s="81"/>
      <c r="G21" s="81"/>
      <c r="H21" s="81"/>
      <c r="I21" s="105"/>
      <c r="J21" s="81"/>
      <c r="K21" s="81"/>
      <c r="L21" s="81"/>
      <c r="M21" s="81"/>
      <c r="N21" s="81"/>
      <c r="O21" s="81"/>
    </row>
    <row r="22" spans="1:15" x14ac:dyDescent="0.3">
      <c r="A22" s="72"/>
      <c r="B22" s="72"/>
      <c r="C22" s="81"/>
      <c r="D22" s="81"/>
      <c r="E22" s="81"/>
      <c r="F22" s="81"/>
      <c r="G22" s="81"/>
      <c r="H22" s="81"/>
      <c r="I22" s="105"/>
      <c r="J22" s="81"/>
      <c r="K22" s="81"/>
      <c r="L22" s="81"/>
      <c r="M22" s="81"/>
      <c r="N22" s="81"/>
      <c r="O22" s="81"/>
    </row>
    <row r="23" spans="1:15" x14ac:dyDescent="0.3">
      <c r="A23" s="72"/>
      <c r="B23" s="88" t="s">
        <v>163</v>
      </c>
      <c r="C23" s="89"/>
      <c r="D23" s="89"/>
      <c r="E23" s="89"/>
      <c r="F23" s="89"/>
      <c r="G23" s="89"/>
      <c r="H23" s="89"/>
      <c r="I23" s="113"/>
      <c r="J23" s="89"/>
      <c r="K23" s="89"/>
      <c r="L23" s="89"/>
      <c r="M23" s="89"/>
      <c r="N23" s="89"/>
      <c r="O23" s="89"/>
    </row>
    <row r="24" spans="1:15" x14ac:dyDescent="0.3">
      <c r="A24" s="72"/>
      <c r="B24" s="72"/>
      <c r="C24" s="81"/>
      <c r="D24" s="81"/>
      <c r="E24" s="81"/>
      <c r="F24" s="81"/>
      <c r="G24" s="81"/>
      <c r="H24" s="81"/>
      <c r="I24" s="105"/>
      <c r="J24" s="81"/>
      <c r="K24" s="81"/>
      <c r="L24" s="81"/>
      <c r="M24" s="81"/>
      <c r="N24" s="81"/>
      <c r="O24" s="81"/>
    </row>
    <row r="25" spans="1:15" x14ac:dyDescent="0.3">
      <c r="A25" s="72"/>
      <c r="B25" s="73" t="s">
        <v>7</v>
      </c>
      <c r="C25" s="79">
        <f>'Income Statement'!C12</f>
        <v>8999.92</v>
      </c>
      <c r="D25" s="79">
        <f>'Income Statement'!D12</f>
        <v>9219.98</v>
      </c>
      <c r="E25" s="79">
        <f>'Income Statement'!E12</f>
        <v>8886.7099999999991</v>
      </c>
      <c r="F25" s="79">
        <f>'Income Statement'!F12</f>
        <v>10411.48</v>
      </c>
      <c r="G25" s="79">
        <f>'Income Statement'!G12</f>
        <v>10376.19</v>
      </c>
      <c r="H25" s="79">
        <f>'Income Statement'!H12</f>
        <v>17536.96</v>
      </c>
      <c r="I25" s="111">
        <f>'Income Statement'!I12</f>
        <v>18557.009999999998</v>
      </c>
      <c r="J25" s="80">
        <f>J26*J19</f>
        <v>25263.48</v>
      </c>
      <c r="K25" s="80">
        <f t="shared" ref="K25:O25" si="4">K26*K19</f>
        <v>35796.472959999999</v>
      </c>
      <c r="L25" s="80">
        <f t="shared" si="4"/>
        <v>40947.871448999998</v>
      </c>
      <c r="M25" s="80">
        <f t="shared" si="4"/>
        <v>42223.348152899998</v>
      </c>
      <c r="N25" s="80">
        <f t="shared" si="4"/>
        <v>42320.345109416703</v>
      </c>
      <c r="O25" s="80">
        <f t="shared" si="4"/>
        <v>41011.750447715684</v>
      </c>
    </row>
    <row r="26" spans="1:15" x14ac:dyDescent="0.3">
      <c r="A26" s="72"/>
      <c r="B26" s="72" t="s">
        <v>164</v>
      </c>
      <c r="C26" s="82">
        <f t="shared" ref="C26:I26" si="5">C25/C19</f>
        <v>0.44758152148236341</v>
      </c>
      <c r="D26" s="82">
        <f t="shared" si="5"/>
        <v>0.43419300910064867</v>
      </c>
      <c r="E26" s="82">
        <f t="shared" si="5"/>
        <v>0.38637533586664463</v>
      </c>
      <c r="F26" s="82">
        <f t="shared" si="5"/>
        <v>0.33454816069653243</v>
      </c>
      <c r="G26" s="82">
        <f t="shared" si="5"/>
        <v>0.31070092978006097</v>
      </c>
      <c r="H26" s="82">
        <f t="shared" si="5"/>
        <v>0.36966298766452227</v>
      </c>
      <c r="I26" s="112">
        <f t="shared" si="5"/>
        <v>0.32233472559440907</v>
      </c>
      <c r="J26" s="82">
        <f t="shared" ref="J26:O26" si="6">IF($D$3="Base",J27,IF($D$3="Bull",J28,J29))</f>
        <v>0.33</v>
      </c>
      <c r="K26" s="82">
        <f t="shared" si="6"/>
        <v>0.32</v>
      </c>
      <c r="L26" s="82">
        <f t="shared" si="6"/>
        <v>0.31</v>
      </c>
      <c r="M26" s="82">
        <f t="shared" si="6"/>
        <v>0.3</v>
      </c>
      <c r="N26" s="82">
        <f t="shared" si="6"/>
        <v>0.28999999999999998</v>
      </c>
      <c r="O26" s="82">
        <f t="shared" si="6"/>
        <v>0.28000000000000003</v>
      </c>
    </row>
    <row r="27" spans="1:15" x14ac:dyDescent="0.3">
      <c r="A27" s="72"/>
      <c r="B27" s="72" t="s">
        <v>114</v>
      </c>
      <c r="C27" s="81"/>
      <c r="D27" s="81"/>
      <c r="E27" s="81"/>
      <c r="F27" s="81"/>
      <c r="G27" s="81"/>
      <c r="H27" s="81"/>
      <c r="I27" s="105"/>
      <c r="J27" s="83">
        <v>0.3</v>
      </c>
      <c r="K27" s="83">
        <v>0.28999999999999998</v>
      </c>
      <c r="L27" s="83">
        <v>0.28000000000000003</v>
      </c>
      <c r="M27" s="83">
        <v>0.27</v>
      </c>
      <c r="N27" s="83">
        <v>0.26</v>
      </c>
      <c r="O27" s="83">
        <v>0.25</v>
      </c>
    </row>
    <row r="28" spans="1:15" x14ac:dyDescent="0.3">
      <c r="A28" s="72"/>
      <c r="B28" s="72" t="s">
        <v>115</v>
      </c>
      <c r="C28" s="81"/>
      <c r="D28" s="81"/>
      <c r="E28" s="81"/>
      <c r="F28" s="81"/>
      <c r="G28" s="81"/>
      <c r="H28" s="81"/>
      <c r="I28" s="105"/>
      <c r="J28" s="83">
        <v>0.28999999999999998</v>
      </c>
      <c r="K28" s="83">
        <v>0.28000000000000003</v>
      </c>
      <c r="L28" s="83">
        <v>0.27</v>
      </c>
      <c r="M28" s="83">
        <v>0.26</v>
      </c>
      <c r="N28" s="83">
        <v>0.25</v>
      </c>
      <c r="O28" s="83">
        <v>0.24</v>
      </c>
    </row>
    <row r="29" spans="1:15" x14ac:dyDescent="0.3">
      <c r="A29" s="72"/>
      <c r="B29" s="72" t="s">
        <v>113</v>
      </c>
      <c r="C29" s="81"/>
      <c r="D29" s="81"/>
      <c r="E29" s="81"/>
      <c r="F29" s="81"/>
      <c r="G29" s="81"/>
      <c r="H29" s="81"/>
      <c r="I29" s="105"/>
      <c r="J29" s="83">
        <v>0.33</v>
      </c>
      <c r="K29" s="83">
        <v>0.32</v>
      </c>
      <c r="L29" s="83">
        <v>0.31</v>
      </c>
      <c r="M29" s="83">
        <v>0.3</v>
      </c>
      <c r="N29" s="83">
        <v>0.28999999999999998</v>
      </c>
      <c r="O29" s="83">
        <v>0.28000000000000003</v>
      </c>
    </row>
    <row r="30" spans="1:15" x14ac:dyDescent="0.3">
      <c r="A30" s="72"/>
      <c r="B30" s="72"/>
      <c r="C30" s="81"/>
      <c r="D30" s="81"/>
      <c r="E30" s="81"/>
      <c r="F30" s="81"/>
      <c r="G30" s="81"/>
      <c r="H30" s="81"/>
      <c r="I30" s="105"/>
      <c r="J30" s="81"/>
      <c r="K30" s="81"/>
      <c r="L30" s="81"/>
      <c r="M30" s="81"/>
      <c r="N30" s="81"/>
      <c r="O30" s="81"/>
    </row>
    <row r="31" spans="1:15" x14ac:dyDescent="0.3">
      <c r="A31" s="72"/>
      <c r="B31" s="73" t="s">
        <v>165</v>
      </c>
      <c r="C31" s="79">
        <f>'Income Statement'!C16</f>
        <v>4178.72</v>
      </c>
      <c r="D31" s="79">
        <f>'Income Statement'!D16</f>
        <v>4416.2</v>
      </c>
      <c r="E31" s="79">
        <f>'Income Statement'!E16</f>
        <v>4067.14</v>
      </c>
      <c r="F31" s="79">
        <f>'Income Statement'!F16</f>
        <v>4610.5600000000004</v>
      </c>
      <c r="G31" s="79">
        <f>'Income Statement'!G16</f>
        <v>4897.67</v>
      </c>
      <c r="H31" s="79">
        <f>'Income Statement'!H16</f>
        <v>8563.81</v>
      </c>
      <c r="I31" s="111">
        <f>'Income Statement'!I16</f>
        <v>9891.73</v>
      </c>
      <c r="J31" s="80">
        <f>J32*J19</f>
        <v>12631.74</v>
      </c>
      <c r="K31" s="80">
        <f t="shared" ref="K31:O31" si="7">K32*K19</f>
        <v>17338.916590000001</v>
      </c>
      <c r="L31" s="80">
        <f t="shared" si="7"/>
        <v>19813.486184999998</v>
      </c>
      <c r="M31" s="80">
        <f t="shared" si="7"/>
        <v>20407.951607234998</v>
      </c>
      <c r="N31" s="80">
        <f t="shared" si="7"/>
        <v>20430.511432132203</v>
      </c>
      <c r="O31" s="80">
        <f t="shared" si="7"/>
        <v>19773.52253729149</v>
      </c>
    </row>
    <row r="32" spans="1:15" x14ac:dyDescent="0.3">
      <c r="A32" s="72"/>
      <c r="B32" s="72" t="s">
        <v>164</v>
      </c>
      <c r="C32" s="82">
        <f>C31/C19</f>
        <v>0.20781494229379613</v>
      </c>
      <c r="D32" s="82">
        <f t="shared" ref="D32:I32" si="8">D31/D19</f>
        <v>0.20797042583501099</v>
      </c>
      <c r="E32" s="82">
        <f t="shared" si="8"/>
        <v>0.17683063625533693</v>
      </c>
      <c r="F32" s="82">
        <f t="shared" si="8"/>
        <v>0.14814938584917847</v>
      </c>
      <c r="G32" s="82">
        <f t="shared" si="8"/>
        <v>0.14665408235160604</v>
      </c>
      <c r="H32" s="82">
        <f t="shared" si="8"/>
        <v>0.180517238471851</v>
      </c>
      <c r="I32" s="112">
        <f t="shared" si="8"/>
        <v>0.17181906326525578</v>
      </c>
      <c r="J32" s="82">
        <f t="shared" ref="J32:O32" si="9">IF($D$3="Base",J33,IF($D$3="Bull",J34,J35))</f>
        <v>0.16500000000000001</v>
      </c>
      <c r="K32" s="82">
        <f t="shared" si="9"/>
        <v>0.155</v>
      </c>
      <c r="L32" s="82">
        <f t="shared" si="9"/>
        <v>0.15</v>
      </c>
      <c r="M32" s="82">
        <f t="shared" si="9"/>
        <v>0.14499999999999999</v>
      </c>
      <c r="N32" s="82">
        <f t="shared" si="9"/>
        <v>0.14000000000000001</v>
      </c>
      <c r="O32" s="82">
        <f t="shared" si="9"/>
        <v>0.13500000000000001</v>
      </c>
    </row>
    <row r="33" spans="1:15" x14ac:dyDescent="0.3">
      <c r="A33" s="72"/>
      <c r="B33" s="72" t="s">
        <v>114</v>
      </c>
      <c r="C33" s="81"/>
      <c r="D33" s="81"/>
      <c r="E33" s="81"/>
      <c r="F33" s="81"/>
      <c r="G33" s="81"/>
      <c r="H33" s="81"/>
      <c r="I33" s="105"/>
      <c r="J33" s="83">
        <v>0.155</v>
      </c>
      <c r="K33" s="83">
        <v>0.14499999999999999</v>
      </c>
      <c r="L33" s="83">
        <v>0.13500000000000001</v>
      </c>
      <c r="M33" s="83">
        <v>0.125</v>
      </c>
      <c r="N33" s="83">
        <v>0.12</v>
      </c>
      <c r="O33" s="83">
        <v>0.115</v>
      </c>
    </row>
    <row r="34" spans="1:15" x14ac:dyDescent="0.3">
      <c r="A34" s="72"/>
      <c r="B34" s="72" t="s">
        <v>115</v>
      </c>
      <c r="C34" s="81"/>
      <c r="D34" s="81"/>
      <c r="E34" s="81"/>
      <c r="F34" s="81"/>
      <c r="G34" s="81"/>
      <c r="H34" s="81"/>
      <c r="I34" s="105"/>
      <c r="J34" s="83">
        <v>0.15</v>
      </c>
      <c r="K34" s="83">
        <v>0.14000000000000001</v>
      </c>
      <c r="L34" s="83">
        <v>0.13</v>
      </c>
      <c r="M34" s="83">
        <v>0.12</v>
      </c>
      <c r="N34" s="83">
        <v>0.115</v>
      </c>
      <c r="O34" s="83">
        <v>0.11</v>
      </c>
    </row>
    <row r="35" spans="1:15" x14ac:dyDescent="0.3">
      <c r="A35" s="72"/>
      <c r="B35" s="72" t="s">
        <v>113</v>
      </c>
      <c r="C35" s="81"/>
      <c r="D35" s="81"/>
      <c r="E35" s="81"/>
      <c r="F35" s="81"/>
      <c r="G35" s="81"/>
      <c r="H35" s="81"/>
      <c r="I35" s="105"/>
      <c r="J35" s="83">
        <v>0.16500000000000001</v>
      </c>
      <c r="K35" s="83">
        <v>0.155</v>
      </c>
      <c r="L35" s="83">
        <v>0.15</v>
      </c>
      <c r="M35" s="83">
        <v>0.14499999999999999</v>
      </c>
      <c r="N35" s="83">
        <v>0.14000000000000001</v>
      </c>
      <c r="O35" s="83">
        <v>0.13500000000000001</v>
      </c>
    </row>
    <row r="36" spans="1:15" x14ac:dyDescent="0.3">
      <c r="A36" s="72"/>
      <c r="B36" s="72"/>
      <c r="C36" s="81"/>
      <c r="D36" s="81"/>
      <c r="E36" s="81"/>
      <c r="F36" s="81"/>
      <c r="G36" s="81"/>
      <c r="H36" s="81"/>
      <c r="I36" s="105"/>
      <c r="J36" s="81"/>
      <c r="K36" s="81"/>
      <c r="L36" s="81"/>
      <c r="M36" s="81"/>
      <c r="N36" s="81"/>
      <c r="O36" s="81"/>
    </row>
    <row r="37" spans="1:15" x14ac:dyDescent="0.3">
      <c r="A37" s="72"/>
      <c r="B37" s="73" t="s">
        <v>166</v>
      </c>
      <c r="C37" s="79">
        <f>'Income Statement'!C17</f>
        <v>1520.75</v>
      </c>
      <c r="D37" s="79">
        <f>'Income Statement'!D17</f>
        <v>1720.08</v>
      </c>
      <c r="E37" s="79">
        <f>'Income Statement'!E17</f>
        <v>1128.6400000000001</v>
      </c>
      <c r="F37" s="79">
        <f>'Income Statement'!F17</f>
        <v>1295.3399999999999</v>
      </c>
      <c r="G37" s="79">
        <f>'Income Statement'!G17</f>
        <v>1484.31</v>
      </c>
      <c r="H37" s="79">
        <f>'Income Statement'!H17</f>
        <v>4561.54</v>
      </c>
      <c r="I37" s="111">
        <f>'Income Statement'!I17</f>
        <v>3794.67</v>
      </c>
      <c r="J37" s="80">
        <f>J38*J19</f>
        <v>4593.3599999999997</v>
      </c>
      <c r="K37" s="80">
        <f t="shared" ref="K37:O37" si="10">K38*K19</f>
        <v>6376.2467460000007</v>
      </c>
      <c r="L37" s="80">
        <f t="shared" si="10"/>
        <v>7264.9449344999994</v>
      </c>
      <c r="M37" s="80">
        <f t="shared" si="10"/>
        <v>7318.7136798359998</v>
      </c>
      <c r="N37" s="80">
        <f t="shared" si="10"/>
        <v>7296.6112257615014</v>
      </c>
      <c r="O37" s="80">
        <f t="shared" si="10"/>
        <v>7030.5857910369741</v>
      </c>
    </row>
    <row r="38" spans="1:15" x14ac:dyDescent="0.3">
      <c r="A38" s="72"/>
      <c r="B38" s="72" t="s">
        <v>164</v>
      </c>
      <c r="C38" s="82">
        <f>C37/C19</f>
        <v>7.5629516572847777E-2</v>
      </c>
      <c r="D38" s="82">
        <f t="shared" ref="D38:I38" si="11">D37/D19</f>
        <v>8.1003072793416453E-2</v>
      </c>
      <c r="E38" s="82">
        <f t="shared" si="11"/>
        <v>4.9070877644542231E-2</v>
      </c>
      <c r="F38" s="82">
        <f t="shared" si="11"/>
        <v>4.1622671750476042E-2</v>
      </c>
      <c r="G38" s="82">
        <f t="shared" si="11"/>
        <v>4.4445648844310126E-2</v>
      </c>
      <c r="H38" s="82">
        <f t="shared" si="11"/>
        <v>9.6153067849343604E-2</v>
      </c>
      <c r="I38" s="112">
        <f t="shared" si="11"/>
        <v>6.5913307864323853E-2</v>
      </c>
      <c r="J38" s="82">
        <f t="shared" ref="J38:O38" si="12">IF($D$3="Base",J39,IF($D$3="Bull",J40,J41))</f>
        <v>0.06</v>
      </c>
      <c r="K38" s="82">
        <f t="shared" si="12"/>
        <v>5.7000000000000002E-2</v>
      </c>
      <c r="L38" s="82">
        <f t="shared" si="12"/>
        <v>5.5E-2</v>
      </c>
      <c r="M38" s="82">
        <f t="shared" si="12"/>
        <v>5.1999999999999998E-2</v>
      </c>
      <c r="N38" s="82">
        <f t="shared" si="12"/>
        <v>0.05</v>
      </c>
      <c r="O38" s="82">
        <f t="shared" si="12"/>
        <v>4.8000000000000001E-2</v>
      </c>
    </row>
    <row r="39" spans="1:15" x14ac:dyDescent="0.3">
      <c r="A39" s="72"/>
      <c r="B39" s="72" t="s">
        <v>114</v>
      </c>
      <c r="C39" s="81"/>
      <c r="D39" s="81"/>
      <c r="E39" s="81"/>
      <c r="F39" s="81"/>
      <c r="G39" s="81"/>
      <c r="H39" s="81"/>
      <c r="I39" s="105"/>
      <c r="J39" s="83">
        <v>5.5E-2</v>
      </c>
      <c r="K39" s="83">
        <v>0.05</v>
      </c>
      <c r="L39" s="83">
        <v>4.4999999999999998E-2</v>
      </c>
      <c r="M39" s="83">
        <v>4.2000000000000003E-2</v>
      </c>
      <c r="N39" s="83">
        <v>0.04</v>
      </c>
      <c r="O39" s="83">
        <v>3.7999999999999999E-2</v>
      </c>
    </row>
    <row r="40" spans="1:15" x14ac:dyDescent="0.3">
      <c r="A40" s="72"/>
      <c r="B40" s="72" t="s">
        <v>115</v>
      </c>
      <c r="C40" s="81"/>
      <c r="D40" s="81"/>
      <c r="E40" s="81"/>
      <c r="F40" s="81"/>
      <c r="G40" s="81"/>
      <c r="H40" s="81"/>
      <c r="I40" s="105"/>
      <c r="J40" s="83">
        <v>5.1999999999999998E-2</v>
      </c>
      <c r="K40" s="83">
        <v>4.8000000000000001E-2</v>
      </c>
      <c r="L40" s="83">
        <v>4.2999999999999997E-2</v>
      </c>
      <c r="M40" s="83">
        <v>0.04</v>
      </c>
      <c r="N40" s="83">
        <v>3.6999999999999998E-2</v>
      </c>
      <c r="O40" s="83">
        <v>3.5000000000000003E-2</v>
      </c>
    </row>
    <row r="41" spans="1:15" x14ac:dyDescent="0.3">
      <c r="A41" s="72"/>
      <c r="B41" s="72" t="s">
        <v>113</v>
      </c>
      <c r="C41" s="81"/>
      <c r="D41" s="81"/>
      <c r="E41" s="81"/>
      <c r="F41" s="81"/>
      <c r="G41" s="81"/>
      <c r="H41" s="81"/>
      <c r="I41" s="105"/>
      <c r="J41" s="83">
        <v>0.06</v>
      </c>
      <c r="K41" s="83">
        <v>5.7000000000000002E-2</v>
      </c>
      <c r="L41" s="83">
        <v>5.5E-2</v>
      </c>
      <c r="M41" s="83">
        <v>5.1999999999999998E-2</v>
      </c>
      <c r="N41" s="83">
        <v>0.05</v>
      </c>
      <c r="O41" s="83">
        <v>4.8000000000000001E-2</v>
      </c>
    </row>
    <row r="42" spans="1:15" x14ac:dyDescent="0.3">
      <c r="A42" s="72"/>
      <c r="B42" s="72"/>
      <c r="C42" s="81"/>
      <c r="D42" s="81"/>
      <c r="E42" s="81"/>
      <c r="F42" s="81"/>
      <c r="G42" s="81"/>
      <c r="H42" s="81"/>
      <c r="I42" s="105"/>
      <c r="J42" s="81"/>
      <c r="K42" s="81"/>
      <c r="L42" s="81"/>
      <c r="M42" s="81"/>
      <c r="N42" s="81"/>
      <c r="O42" s="81"/>
    </row>
    <row r="43" spans="1:15" x14ac:dyDescent="0.3">
      <c r="A43" s="72"/>
      <c r="B43" s="73" t="s">
        <v>167</v>
      </c>
      <c r="C43" s="79">
        <f>'Income Statement'!C42</f>
        <v>5168.2299999999996</v>
      </c>
      <c r="D43" s="79">
        <f>'Income Statement'!D42</f>
        <v>6138.06</v>
      </c>
      <c r="E43" s="79">
        <f>'Income Statement'!E42</f>
        <v>5061.71</v>
      </c>
      <c r="F43" s="79">
        <f>'Income Statement'!F42</f>
        <v>4671.4799999999996</v>
      </c>
      <c r="G43" s="79">
        <f>'Income Statement'!G42</f>
        <v>3575.58</v>
      </c>
      <c r="H43" s="79">
        <f>'Income Statement'!H42</f>
        <v>9207.7099999999991</v>
      </c>
      <c r="I43" s="111">
        <f>'Income Statement'!I42</f>
        <v>7907.43</v>
      </c>
      <c r="J43" s="80">
        <f>J44*J19</f>
        <v>9952.2800000000007</v>
      </c>
      <c r="K43" s="80">
        <f t="shared" ref="K43:O43" si="13">K44*K19</f>
        <v>12305.03758</v>
      </c>
      <c r="L43" s="80">
        <f t="shared" si="13"/>
        <v>13208.99079</v>
      </c>
      <c r="M43" s="80">
        <f t="shared" si="13"/>
        <v>12667.004445869999</v>
      </c>
      <c r="N43" s="80">
        <f t="shared" si="13"/>
        <v>12404.239083794553</v>
      </c>
      <c r="O43" s="80">
        <f t="shared" si="13"/>
        <v>11717.642985061624</v>
      </c>
    </row>
    <row r="44" spans="1:15" x14ac:dyDescent="0.3">
      <c r="A44" s="72"/>
      <c r="B44" s="72" t="s">
        <v>164</v>
      </c>
      <c r="C44" s="82">
        <f>C43/C19</f>
        <v>0.25702497875212166</v>
      </c>
      <c r="D44" s="82">
        <f t="shared" ref="D44:I44" si="14">D43/D19</f>
        <v>0.2890573234909759</v>
      </c>
      <c r="E44" s="82">
        <f t="shared" si="14"/>
        <v>0.22007243415274652</v>
      </c>
      <c r="F44" s="82">
        <f t="shared" si="14"/>
        <v>0.15010690523639647</v>
      </c>
      <c r="G44" s="82">
        <f t="shared" si="14"/>
        <v>0.1070658912860106</v>
      </c>
      <c r="H44" s="82">
        <f t="shared" si="14"/>
        <v>0.19409005826257789</v>
      </c>
      <c r="I44" s="112">
        <f t="shared" si="14"/>
        <v>0.13735182980485533</v>
      </c>
      <c r="J44" s="82">
        <f t="shared" ref="J44:O44" si="15">IF($D$3="Base",J45,IF($D$3="Bull",J46,J47))</f>
        <v>0.13</v>
      </c>
      <c r="K44" s="82">
        <f t="shared" si="15"/>
        <v>0.11</v>
      </c>
      <c r="L44" s="82">
        <f t="shared" si="15"/>
        <v>0.1</v>
      </c>
      <c r="M44" s="82">
        <f t="shared" si="15"/>
        <v>0.09</v>
      </c>
      <c r="N44" s="82">
        <f t="shared" si="15"/>
        <v>8.5000000000000006E-2</v>
      </c>
      <c r="O44" s="82">
        <f t="shared" si="15"/>
        <v>0.08</v>
      </c>
    </row>
    <row r="45" spans="1:15" x14ac:dyDescent="0.3">
      <c r="A45" s="72"/>
      <c r="B45" s="72" t="s">
        <v>114</v>
      </c>
      <c r="C45" s="81"/>
      <c r="D45" s="81"/>
      <c r="E45" s="81"/>
      <c r="F45" s="81"/>
      <c r="G45" s="81"/>
      <c r="H45" s="81"/>
      <c r="I45" s="105"/>
      <c r="J45" s="83">
        <v>0.12</v>
      </c>
      <c r="K45" s="83">
        <v>0.1</v>
      </c>
      <c r="L45" s="83">
        <v>0.09</v>
      </c>
      <c r="M45" s="83">
        <v>0.08</v>
      </c>
      <c r="N45" s="83">
        <v>7.0000000000000007E-2</v>
      </c>
      <c r="O45" s="83">
        <v>6.5000000000000002E-2</v>
      </c>
    </row>
    <row r="46" spans="1:15" x14ac:dyDescent="0.3">
      <c r="A46" s="72"/>
      <c r="B46" s="72" t="s">
        <v>115</v>
      </c>
      <c r="C46" s="81"/>
      <c r="D46" s="81"/>
      <c r="E46" s="81"/>
      <c r="F46" s="81"/>
      <c r="G46" s="81"/>
      <c r="H46" s="81"/>
      <c r="I46" s="105"/>
      <c r="J46" s="83">
        <v>0.11</v>
      </c>
      <c r="K46" s="83">
        <v>0.09</v>
      </c>
      <c r="L46" s="83">
        <v>0.08</v>
      </c>
      <c r="M46" s="83">
        <v>7.0000000000000007E-2</v>
      </c>
      <c r="N46" s="83">
        <v>0.06</v>
      </c>
      <c r="O46" s="83">
        <v>5.5E-2</v>
      </c>
    </row>
    <row r="47" spans="1:15" x14ac:dyDescent="0.3">
      <c r="A47" s="72"/>
      <c r="B47" s="72" t="s">
        <v>113</v>
      </c>
      <c r="C47" s="81"/>
      <c r="D47" s="81"/>
      <c r="E47" s="81"/>
      <c r="F47" s="81"/>
      <c r="G47" s="81"/>
      <c r="H47" s="81"/>
      <c r="I47" s="105"/>
      <c r="J47" s="83">
        <v>0.13</v>
      </c>
      <c r="K47" s="83">
        <v>0.11</v>
      </c>
      <c r="L47" s="83">
        <v>0.1</v>
      </c>
      <c r="M47" s="83">
        <v>0.09</v>
      </c>
      <c r="N47" s="83">
        <v>8.5000000000000006E-2</v>
      </c>
      <c r="O47" s="83">
        <v>0.08</v>
      </c>
    </row>
    <row r="48" spans="1:15" x14ac:dyDescent="0.3">
      <c r="A48" s="72"/>
      <c r="B48" s="72"/>
      <c r="C48" s="81"/>
      <c r="D48" s="81"/>
      <c r="E48" s="81"/>
      <c r="F48" s="81"/>
      <c r="G48" s="81"/>
      <c r="H48" s="81"/>
      <c r="I48" s="105"/>
      <c r="J48" s="81"/>
      <c r="K48" s="81"/>
      <c r="L48" s="81"/>
      <c r="M48" s="81"/>
      <c r="N48" s="81"/>
      <c r="O48" s="81"/>
    </row>
    <row r="49" spans="1:15" x14ac:dyDescent="0.3">
      <c r="A49" s="72"/>
      <c r="B49" s="88" t="s">
        <v>168</v>
      </c>
      <c r="C49" s="89"/>
      <c r="D49" s="89"/>
      <c r="E49" s="89"/>
      <c r="F49" s="89"/>
      <c r="G49" s="89"/>
      <c r="H49" s="89"/>
      <c r="I49" s="113"/>
      <c r="J49" s="89"/>
      <c r="K49" s="89"/>
      <c r="L49" s="89"/>
      <c r="M49" s="89"/>
      <c r="N49" s="89"/>
      <c r="O49" s="89"/>
    </row>
    <row r="50" spans="1:15" x14ac:dyDescent="0.3">
      <c r="A50" s="72"/>
      <c r="B50" s="72"/>
      <c r="C50" s="81"/>
      <c r="D50" s="81"/>
      <c r="E50" s="81"/>
      <c r="F50" s="81"/>
      <c r="G50" s="81"/>
      <c r="H50" s="81"/>
      <c r="I50" s="105"/>
      <c r="J50" s="81"/>
      <c r="K50" s="81"/>
      <c r="L50" s="81"/>
      <c r="M50" s="81"/>
      <c r="N50" s="81"/>
      <c r="O50" s="81"/>
    </row>
    <row r="51" spans="1:15" x14ac:dyDescent="0.3">
      <c r="A51" s="72"/>
      <c r="B51" s="73" t="s">
        <v>169</v>
      </c>
      <c r="C51" s="79">
        <f>'Income Statement'!C43</f>
        <v>1944.32</v>
      </c>
      <c r="D51" s="79">
        <f>'Income Statement'!D43</f>
        <v>1756.52</v>
      </c>
      <c r="E51" s="79">
        <f>'Income Statement'!E43</f>
        <v>1427.77</v>
      </c>
      <c r="F51" s="79">
        <f>'Income Statement'!F43</f>
        <v>1436.87</v>
      </c>
      <c r="G51" s="79">
        <f>'Income Statement'!G43</f>
        <v>2024.15</v>
      </c>
      <c r="H51" s="79">
        <f>'Income Statement'!H43</f>
        <v>5280.86</v>
      </c>
      <c r="I51" s="111">
        <f>'Income Statement'!I43</f>
        <v>6819.77</v>
      </c>
      <c r="J51" s="80">
        <f>J52*J19</f>
        <v>8803.94</v>
      </c>
      <c r="K51" s="80">
        <f t="shared" ref="K51:O51" si="16">K52*K19</f>
        <v>12305.03758</v>
      </c>
      <c r="L51" s="80">
        <f t="shared" si="16"/>
        <v>13869.440329499999</v>
      </c>
      <c r="M51" s="80">
        <f t="shared" si="16"/>
        <v>14074.449384300002</v>
      </c>
      <c r="N51" s="80">
        <f t="shared" si="16"/>
        <v>13863.561328946851</v>
      </c>
      <c r="O51" s="80">
        <f t="shared" si="16"/>
        <v>13182.348358194326</v>
      </c>
    </row>
    <row r="52" spans="1:15" x14ac:dyDescent="0.3">
      <c r="A52" s="72"/>
      <c r="B52" s="72" t="s">
        <v>164</v>
      </c>
      <c r="C52" s="82">
        <f>C51/C19</f>
        <v>9.6694382155462361E-2</v>
      </c>
      <c r="D52" s="82">
        <f t="shared" ref="D52:I52" si="17">D51/D19</f>
        <v>8.2719127844688545E-2</v>
      </c>
      <c r="E52" s="82">
        <f t="shared" si="17"/>
        <v>6.2076416726811079E-2</v>
      </c>
      <c r="F52" s="82">
        <f t="shared" si="17"/>
        <v>4.6170401869861585E-2</v>
      </c>
      <c r="G52" s="82">
        <f t="shared" si="17"/>
        <v>6.0610425118883753E-2</v>
      </c>
      <c r="H52" s="82">
        <f t="shared" si="17"/>
        <v>0.11131567187460477</v>
      </c>
      <c r="I52" s="112">
        <f t="shared" si="17"/>
        <v>0.11845920714419961</v>
      </c>
      <c r="J52" s="82">
        <f t="shared" ref="J52:O52" si="18">IF($D$3="Base",J53,IF($D$3="Bull",J54,J55))</f>
        <v>0.115</v>
      </c>
      <c r="K52" s="82">
        <f t="shared" si="18"/>
        <v>0.11</v>
      </c>
      <c r="L52" s="82">
        <f t="shared" si="18"/>
        <v>0.105</v>
      </c>
      <c r="M52" s="82">
        <f t="shared" si="18"/>
        <v>0.1</v>
      </c>
      <c r="N52" s="82">
        <f t="shared" si="18"/>
        <v>9.5000000000000001E-2</v>
      </c>
      <c r="O52" s="82">
        <f t="shared" si="18"/>
        <v>0.09</v>
      </c>
    </row>
    <row r="53" spans="1:15" x14ac:dyDescent="0.3">
      <c r="A53" s="72"/>
      <c r="B53" s="72" t="s">
        <v>114</v>
      </c>
      <c r="C53" s="81"/>
      <c r="D53" s="81"/>
      <c r="E53" s="81"/>
      <c r="F53" s="81"/>
      <c r="G53" s="81"/>
      <c r="H53" s="81"/>
      <c r="I53" s="105"/>
      <c r="J53" s="83">
        <v>0.11</v>
      </c>
      <c r="K53" s="83">
        <v>0.105</v>
      </c>
      <c r="L53" s="83">
        <v>0.1</v>
      </c>
      <c r="M53" s="83">
        <v>9.5000000000000001E-2</v>
      </c>
      <c r="N53" s="83">
        <v>0.09</v>
      </c>
      <c r="O53" s="83">
        <v>8.5000000000000006E-2</v>
      </c>
    </row>
    <row r="54" spans="1:15" x14ac:dyDescent="0.3">
      <c r="A54" s="72"/>
      <c r="B54" s="72" t="s">
        <v>115</v>
      </c>
      <c r="C54" s="81"/>
      <c r="D54" s="81"/>
      <c r="E54" s="81"/>
      <c r="F54" s="81"/>
      <c r="G54" s="81"/>
      <c r="H54" s="81"/>
      <c r="I54" s="105"/>
      <c r="J54" s="83">
        <v>0.105</v>
      </c>
      <c r="K54" s="83">
        <v>0.1</v>
      </c>
      <c r="L54" s="83">
        <v>9.5000000000000001E-2</v>
      </c>
      <c r="M54" s="83">
        <v>0.09</v>
      </c>
      <c r="N54" s="83">
        <v>8.5000000000000006E-2</v>
      </c>
      <c r="O54" s="83">
        <v>0.08</v>
      </c>
    </row>
    <row r="55" spans="1:15" x14ac:dyDescent="0.3">
      <c r="A55" s="72"/>
      <c r="B55" s="72" t="s">
        <v>113</v>
      </c>
      <c r="C55" s="81"/>
      <c r="D55" s="81"/>
      <c r="E55" s="81"/>
      <c r="F55" s="81"/>
      <c r="G55" s="81"/>
      <c r="H55" s="81"/>
      <c r="I55" s="105"/>
      <c r="J55" s="83">
        <v>0.115</v>
      </c>
      <c r="K55" s="83">
        <v>0.11</v>
      </c>
      <c r="L55" s="83">
        <v>0.105</v>
      </c>
      <c r="M55" s="83">
        <v>0.1</v>
      </c>
      <c r="N55" s="83">
        <v>9.5000000000000001E-2</v>
      </c>
      <c r="O55" s="83">
        <v>0.09</v>
      </c>
    </row>
    <row r="56" spans="1:15" x14ac:dyDescent="0.3">
      <c r="A56" s="72"/>
      <c r="B56" s="72"/>
      <c r="C56" s="81"/>
      <c r="D56" s="81"/>
      <c r="E56" s="81"/>
      <c r="F56" s="81"/>
      <c r="G56" s="81"/>
      <c r="H56" s="81"/>
      <c r="I56" s="105"/>
      <c r="J56" s="81"/>
      <c r="K56" s="81"/>
      <c r="L56" s="81"/>
      <c r="M56" s="81"/>
      <c r="N56" s="81"/>
      <c r="O56" s="81"/>
    </row>
    <row r="57" spans="1:15" x14ac:dyDescent="0.3">
      <c r="A57" s="72"/>
      <c r="B57" s="73" t="s">
        <v>170</v>
      </c>
      <c r="C57" s="79">
        <f>'Cash Flow'!C29</f>
        <v>-384.41</v>
      </c>
      <c r="D57" s="79">
        <f>'Cash Flow'!D29</f>
        <v>-411.57</v>
      </c>
      <c r="E57" s="79">
        <f>'Cash Flow'!E29</f>
        <v>-371.19</v>
      </c>
      <c r="F57" s="79">
        <f>'Cash Flow'!F29</f>
        <v>-397.41</v>
      </c>
      <c r="G57" s="79">
        <f>'Cash Flow'!G29</f>
        <v>-421.43</v>
      </c>
      <c r="H57" s="79">
        <f>'Cash Flow'!H29</f>
        <v>-504.08</v>
      </c>
      <c r="I57" s="111">
        <f>'Cash Flow'!I29</f>
        <v>-561.41</v>
      </c>
      <c r="J57" s="80">
        <f>-J58*J19</f>
        <v>-1531.1200000000001</v>
      </c>
      <c r="K57" s="80">
        <f t="shared" ref="K57:O57" si="19">-K58*K19</f>
        <v>-2461.0075160000001</v>
      </c>
      <c r="L57" s="80">
        <f t="shared" si="19"/>
        <v>-3302.2476975</v>
      </c>
      <c r="M57" s="80">
        <f t="shared" si="19"/>
        <v>-3518.6123460750005</v>
      </c>
      <c r="N57" s="80">
        <f t="shared" si="19"/>
        <v>-3210.5089393350604</v>
      </c>
      <c r="O57" s="80">
        <f t="shared" si="19"/>
        <v>-2929.410746265406</v>
      </c>
    </row>
    <row r="58" spans="1:15" x14ac:dyDescent="0.3">
      <c r="A58" s="72"/>
      <c r="B58" s="72" t="s">
        <v>164</v>
      </c>
      <c r="C58" s="82">
        <f>-C57/C19</f>
        <v>1.9117371340304726E-2</v>
      </c>
      <c r="D58" s="82">
        <f t="shared" ref="D58:I58" si="20">-D57/D19</f>
        <v>1.9381909370253948E-2</v>
      </c>
      <c r="E58" s="82">
        <f t="shared" si="20"/>
        <v>1.6138555316910289E-2</v>
      </c>
      <c r="F58" s="82">
        <f t="shared" si="20"/>
        <v>1.2769825667667706E-2</v>
      </c>
      <c r="G58" s="82">
        <f t="shared" si="20"/>
        <v>1.2619149498728444E-2</v>
      </c>
      <c r="H58" s="82">
        <f t="shared" si="20"/>
        <v>1.0625542786317149E-2</v>
      </c>
      <c r="I58" s="112">
        <f t="shared" si="20"/>
        <v>9.7516754205530538E-3</v>
      </c>
      <c r="J58" s="82">
        <f t="shared" ref="J58:O58" si="21">IF($D$3="Base",J59,IF($D$3="Bull",J60,J61))</f>
        <v>0.02</v>
      </c>
      <c r="K58" s="82">
        <f t="shared" si="21"/>
        <v>2.1999999999999999E-2</v>
      </c>
      <c r="L58" s="82">
        <f t="shared" si="21"/>
        <v>2.5000000000000001E-2</v>
      </c>
      <c r="M58" s="82">
        <f t="shared" si="21"/>
        <v>2.5000000000000001E-2</v>
      </c>
      <c r="N58" s="82">
        <f t="shared" si="21"/>
        <v>2.1999999999999999E-2</v>
      </c>
      <c r="O58" s="82">
        <f t="shared" si="21"/>
        <v>0.02</v>
      </c>
    </row>
    <row r="59" spans="1:15" x14ac:dyDescent="0.3">
      <c r="A59" s="72"/>
      <c r="B59" s="72" t="s">
        <v>114</v>
      </c>
      <c r="C59" s="81"/>
      <c r="D59" s="81"/>
      <c r="E59" s="81"/>
      <c r="F59" s="81"/>
      <c r="G59" s="81"/>
      <c r="H59" s="81"/>
      <c r="I59" s="105"/>
      <c r="J59" s="83">
        <v>1.4999999999999999E-2</v>
      </c>
      <c r="K59" s="83">
        <v>1.7999999999999999E-2</v>
      </c>
      <c r="L59" s="83">
        <v>0.02</v>
      </c>
      <c r="M59" s="83">
        <v>0.02</v>
      </c>
      <c r="N59" s="83">
        <v>1.7999999999999999E-2</v>
      </c>
      <c r="O59" s="83">
        <v>1.4999999999999999E-2</v>
      </c>
    </row>
    <row r="60" spans="1:15" x14ac:dyDescent="0.3">
      <c r="A60" s="72"/>
      <c r="B60" s="72" t="s">
        <v>115</v>
      </c>
      <c r="C60" s="81"/>
      <c r="D60" s="81"/>
      <c r="E60" s="81"/>
      <c r="F60" s="81"/>
      <c r="G60" s="81"/>
      <c r="H60" s="81"/>
      <c r="I60" s="105"/>
      <c r="J60" s="83">
        <v>1.2E-2</v>
      </c>
      <c r="K60" s="83">
        <v>1.4999999999999999E-2</v>
      </c>
      <c r="L60" s="83">
        <v>1.7000000000000001E-2</v>
      </c>
      <c r="M60" s="83">
        <v>1.7000000000000001E-2</v>
      </c>
      <c r="N60" s="83">
        <v>1.4999999999999999E-2</v>
      </c>
      <c r="O60" s="83">
        <v>1.2999999999999999E-2</v>
      </c>
    </row>
    <row r="61" spans="1:15" x14ac:dyDescent="0.3">
      <c r="A61" s="72"/>
      <c r="B61" s="72" t="s">
        <v>113</v>
      </c>
      <c r="C61" s="81"/>
      <c r="D61" s="81"/>
      <c r="E61" s="81"/>
      <c r="F61" s="81"/>
      <c r="G61" s="81"/>
      <c r="H61" s="81"/>
      <c r="I61" s="105"/>
      <c r="J61" s="83">
        <v>0.02</v>
      </c>
      <c r="K61" s="83">
        <v>2.1999999999999999E-2</v>
      </c>
      <c r="L61" s="83">
        <v>2.5000000000000001E-2</v>
      </c>
      <c r="M61" s="83">
        <v>2.5000000000000001E-2</v>
      </c>
      <c r="N61" s="83">
        <v>2.1999999999999999E-2</v>
      </c>
      <c r="O61" s="83">
        <v>0.02</v>
      </c>
    </row>
    <row r="62" spans="1:15" x14ac:dyDescent="0.3">
      <c r="A62" s="72"/>
      <c r="B62" s="72"/>
      <c r="C62" s="81"/>
      <c r="D62" s="81"/>
      <c r="E62" s="81"/>
      <c r="F62" s="81"/>
      <c r="G62" s="81"/>
      <c r="H62" s="81"/>
      <c r="I62" s="105"/>
      <c r="J62" s="81"/>
      <c r="K62" s="81"/>
      <c r="L62" s="81"/>
      <c r="M62" s="81"/>
      <c r="N62" s="81"/>
      <c r="O62" s="81"/>
    </row>
    <row r="63" spans="1:15" x14ac:dyDescent="0.3">
      <c r="A63" s="72"/>
      <c r="B63" s="88" t="s">
        <v>171</v>
      </c>
      <c r="C63" s="89"/>
      <c r="D63" s="89"/>
      <c r="E63" s="89"/>
      <c r="F63" s="89"/>
      <c r="G63" s="89"/>
      <c r="H63" s="89"/>
      <c r="I63" s="113"/>
      <c r="J63" s="89"/>
      <c r="K63" s="89"/>
      <c r="L63" s="89"/>
      <c r="M63" s="89"/>
      <c r="N63" s="89"/>
      <c r="O63" s="89"/>
    </row>
    <row r="64" spans="1:15" x14ac:dyDescent="0.3">
      <c r="A64" s="72"/>
      <c r="B64" s="72"/>
      <c r="C64" s="81"/>
      <c r="D64" s="81"/>
      <c r="E64" s="81"/>
      <c r="F64" s="81"/>
      <c r="G64" s="81"/>
      <c r="H64" s="81"/>
      <c r="I64" s="105"/>
      <c r="J64" s="81"/>
      <c r="K64" s="81"/>
      <c r="L64" s="81"/>
      <c r="M64" s="81"/>
      <c r="N64" s="81"/>
      <c r="O64" s="81"/>
    </row>
    <row r="65" spans="1:15" x14ac:dyDescent="0.3">
      <c r="A65" s="72"/>
      <c r="B65" s="73" t="s">
        <v>172</v>
      </c>
      <c r="C65" s="79">
        <f>'Income Statement'!C25</f>
        <v>-1284.94</v>
      </c>
      <c r="D65" s="79">
        <f>'Income Statement'!D25</f>
        <v>-1579.63</v>
      </c>
      <c r="E65" s="79">
        <f>'Income Statement'!E25</f>
        <v>-1579.43</v>
      </c>
      <c r="F65" s="79">
        <f>'Income Statement'!F25</f>
        <v>-1628.08</v>
      </c>
      <c r="G65" s="79">
        <f>'Income Statement'!G25</f>
        <v>-1512.28</v>
      </c>
      <c r="H65" s="79">
        <f>'Income Statement'!H25</f>
        <v>-3636.17</v>
      </c>
      <c r="I65" s="111">
        <f>'Income Statement'!I25</f>
        <v>-2892.63</v>
      </c>
      <c r="J65" s="80">
        <f t="shared" ref="J65:O65" si="22">IF($D$3="Base",J67,IF($D$3="Bull",J68,J69))</f>
        <v>-2800</v>
      </c>
      <c r="K65" s="80">
        <f t="shared" si="22"/>
        <v>-2600</v>
      </c>
      <c r="L65" s="80">
        <f t="shared" si="22"/>
        <v>-2400</v>
      </c>
      <c r="M65" s="80">
        <f t="shared" si="22"/>
        <v>-2200</v>
      </c>
      <c r="N65" s="80">
        <f t="shared" si="22"/>
        <v>-2000</v>
      </c>
      <c r="O65" s="80">
        <f t="shared" si="22"/>
        <v>-1800</v>
      </c>
    </row>
    <row r="66" spans="1:15" x14ac:dyDescent="0.3">
      <c r="A66" s="72"/>
      <c r="B66" s="72" t="s">
        <v>162</v>
      </c>
      <c r="C66" s="81"/>
      <c r="D66" s="82">
        <f>D65/C65-1</f>
        <v>0.22934144784970512</v>
      </c>
      <c r="E66" s="82">
        <f t="shared" ref="E66:O66" si="23">E65/D65-1</f>
        <v>-1.2661192810980992E-4</v>
      </c>
      <c r="F66" s="82">
        <f t="shared" si="23"/>
        <v>3.0802251445141593E-2</v>
      </c>
      <c r="G66" s="82">
        <f t="shared" si="23"/>
        <v>-7.1126725959412274E-2</v>
      </c>
      <c r="H66" s="82">
        <f t="shared" si="23"/>
        <v>1.4044290739810088</v>
      </c>
      <c r="I66" s="112">
        <f t="shared" si="23"/>
        <v>-0.20448438879370323</v>
      </c>
      <c r="J66" s="82">
        <f t="shared" si="23"/>
        <v>-3.2022761293355906E-2</v>
      </c>
      <c r="K66" s="82">
        <f t="shared" si="23"/>
        <v>-7.1428571428571397E-2</v>
      </c>
      <c r="L66" s="82">
        <f t="shared" si="23"/>
        <v>-7.6923076923076872E-2</v>
      </c>
      <c r="M66" s="82">
        <f t="shared" si="23"/>
        <v>-8.333333333333337E-2</v>
      </c>
      <c r="N66" s="82">
        <f t="shared" si="23"/>
        <v>-9.0909090909090939E-2</v>
      </c>
      <c r="O66" s="82">
        <f t="shared" si="23"/>
        <v>-9.9999999999999978E-2</v>
      </c>
    </row>
    <row r="67" spans="1:15" x14ac:dyDescent="0.3">
      <c r="A67" s="72"/>
      <c r="B67" s="72" t="s">
        <v>114</v>
      </c>
      <c r="C67" s="81"/>
      <c r="D67" s="81"/>
      <c r="E67" s="81"/>
      <c r="F67" s="81"/>
      <c r="G67" s="81"/>
      <c r="H67" s="81"/>
      <c r="I67" s="105"/>
      <c r="J67" s="85">
        <v>-2600</v>
      </c>
      <c r="K67" s="85">
        <v>-2300</v>
      </c>
      <c r="L67" s="85">
        <v>-2000</v>
      </c>
      <c r="M67" s="85">
        <v>-1700</v>
      </c>
      <c r="N67" s="85">
        <v>-1500</v>
      </c>
      <c r="O67" s="85">
        <v>-1300</v>
      </c>
    </row>
    <row r="68" spans="1:15" x14ac:dyDescent="0.3">
      <c r="A68" s="72"/>
      <c r="B68" s="72" t="s">
        <v>115</v>
      </c>
      <c r="C68" s="81"/>
      <c r="D68" s="81"/>
      <c r="E68" s="81"/>
      <c r="F68" s="81"/>
      <c r="G68" s="81"/>
      <c r="H68" s="81"/>
      <c r="I68" s="105"/>
      <c r="J68" s="85">
        <v>-2400</v>
      </c>
      <c r="K68" s="85">
        <v>-2000</v>
      </c>
      <c r="L68" s="85">
        <v>-1700</v>
      </c>
      <c r="M68" s="85">
        <v>-1400</v>
      </c>
      <c r="N68" s="85">
        <v>-1100</v>
      </c>
      <c r="O68" s="85">
        <v>-900</v>
      </c>
    </row>
    <row r="69" spans="1:15" x14ac:dyDescent="0.3">
      <c r="A69" s="72"/>
      <c r="B69" s="72" t="s">
        <v>113</v>
      </c>
      <c r="C69" s="81"/>
      <c r="D69" s="81"/>
      <c r="E69" s="81"/>
      <c r="F69" s="81"/>
      <c r="G69" s="81"/>
      <c r="H69" s="81"/>
      <c r="I69" s="105"/>
      <c r="J69" s="85">
        <v>-2800</v>
      </c>
      <c r="K69" s="85">
        <v>-2600</v>
      </c>
      <c r="L69" s="85">
        <v>-2400</v>
      </c>
      <c r="M69" s="85">
        <v>-2200</v>
      </c>
      <c r="N69" s="85">
        <v>-2000</v>
      </c>
      <c r="O69" s="85">
        <v>-1800</v>
      </c>
    </row>
    <row r="70" spans="1:15" x14ac:dyDescent="0.3">
      <c r="A70" s="72"/>
      <c r="B70" s="72"/>
      <c r="C70" s="81"/>
      <c r="D70" s="81"/>
      <c r="E70" s="81"/>
      <c r="F70" s="81"/>
      <c r="G70" s="81"/>
      <c r="H70" s="81"/>
      <c r="I70" s="105"/>
      <c r="J70" s="81"/>
      <c r="K70" s="81"/>
      <c r="L70" s="81"/>
      <c r="M70" s="81"/>
      <c r="N70" s="81"/>
      <c r="O70" s="81"/>
    </row>
    <row r="71" spans="1:15" x14ac:dyDescent="0.3">
      <c r="A71" s="72"/>
      <c r="B71" s="72" t="s">
        <v>173</v>
      </c>
      <c r="C71" s="81"/>
      <c r="D71" s="81"/>
      <c r="E71" s="81"/>
      <c r="F71" s="81"/>
      <c r="G71" s="81"/>
      <c r="H71" s="81"/>
      <c r="I71" s="105"/>
      <c r="J71" s="81"/>
      <c r="K71" s="81"/>
      <c r="L71" s="81"/>
      <c r="M71" s="81"/>
      <c r="N71" s="81"/>
      <c r="O71" s="81"/>
    </row>
    <row r="72" spans="1:15" x14ac:dyDescent="0.3">
      <c r="A72" s="72"/>
      <c r="B72" s="73" t="s">
        <v>132</v>
      </c>
      <c r="C72" s="81"/>
      <c r="D72" s="81"/>
      <c r="E72" s="81"/>
      <c r="F72" s="81"/>
      <c r="G72" s="81"/>
      <c r="H72" s="81"/>
      <c r="I72" s="105"/>
      <c r="J72" s="81"/>
      <c r="K72" s="81"/>
      <c r="L72" s="81"/>
      <c r="M72" s="81"/>
      <c r="N72" s="81"/>
      <c r="O72" s="81"/>
    </row>
    <row r="73" spans="1:15" x14ac:dyDescent="0.3">
      <c r="A73" s="72"/>
      <c r="B73" s="72" t="s">
        <v>174</v>
      </c>
      <c r="C73" s="82">
        <f>'Income Statement'!C30/'Income Statement'!C29</f>
        <v>-0.22910829408171421</v>
      </c>
      <c r="D73" s="82">
        <f>'Income Statement'!D30/'Income Statement'!D29</f>
        <v>-0.21203693044459287</v>
      </c>
      <c r="E73" s="82">
        <f>'Income Statement'!E30/'Income Statement'!E29</f>
        <v>4.2869618142845822E-3</v>
      </c>
      <c r="F73" s="82">
        <f>'Income Statement'!F30/'Income Statement'!F29</f>
        <v>7.551871278743609E-2</v>
      </c>
      <c r="G73" s="82">
        <f>'Income Statement'!G30/'Income Statement'!G29</f>
        <v>6.7231702638571172E-2</v>
      </c>
      <c r="H73" s="82">
        <f>'Income Statement'!H30/'Income Statement'!H29</f>
        <v>0.37797451007263272</v>
      </c>
      <c r="I73" s="112">
        <f>'Income Statement'!I30/'Income Statement'!I29</f>
        <v>-1.7466700973496996E-2</v>
      </c>
      <c r="J73" s="86">
        <f t="shared" ref="J73:O73" si="24">IF($D$3="Base",J74,IF($D$3="Bull",J75,J76))</f>
        <v>0.17</v>
      </c>
      <c r="K73" s="86">
        <f t="shared" si="24"/>
        <v>0.17</v>
      </c>
      <c r="L73" s="86">
        <f t="shared" si="24"/>
        <v>0.17</v>
      </c>
      <c r="M73" s="86">
        <f t="shared" si="24"/>
        <v>0.17</v>
      </c>
      <c r="N73" s="86">
        <f t="shared" si="24"/>
        <v>0.17</v>
      </c>
      <c r="O73" s="86">
        <f t="shared" si="24"/>
        <v>0.17</v>
      </c>
    </row>
    <row r="74" spans="1:15" x14ac:dyDescent="0.3">
      <c r="A74" s="72"/>
      <c r="B74" s="72" t="s">
        <v>114</v>
      </c>
      <c r="C74" s="81"/>
      <c r="D74" s="81"/>
      <c r="E74" s="81"/>
      <c r="F74" s="81"/>
      <c r="G74" s="81"/>
      <c r="H74" s="81"/>
      <c r="I74" s="105"/>
      <c r="J74" s="83">
        <v>0.15</v>
      </c>
      <c r="K74" s="83">
        <v>0.15</v>
      </c>
      <c r="L74" s="83">
        <v>0.15</v>
      </c>
      <c r="M74" s="83">
        <v>0.15</v>
      </c>
      <c r="N74" s="83">
        <v>0.15</v>
      </c>
      <c r="O74" s="83">
        <v>0.15</v>
      </c>
    </row>
    <row r="75" spans="1:15" x14ac:dyDescent="0.3">
      <c r="A75" s="72"/>
      <c r="B75" s="72" t="s">
        <v>115</v>
      </c>
      <c r="C75" s="81"/>
      <c r="D75" s="81"/>
      <c r="E75" s="81"/>
      <c r="F75" s="81"/>
      <c r="G75" s="81"/>
      <c r="H75" s="81"/>
      <c r="I75" s="105"/>
      <c r="J75" s="83">
        <v>0.13</v>
      </c>
      <c r="K75" s="83">
        <v>0.13</v>
      </c>
      <c r="L75" s="83">
        <v>0.13</v>
      </c>
      <c r="M75" s="83">
        <v>0.13</v>
      </c>
      <c r="N75" s="83">
        <v>0.13</v>
      </c>
      <c r="O75" s="83">
        <v>0.13</v>
      </c>
    </row>
    <row r="76" spans="1:15" x14ac:dyDescent="0.3">
      <c r="A76" s="72"/>
      <c r="B76" s="72" t="s">
        <v>113</v>
      </c>
      <c r="C76" s="81"/>
      <c r="D76" s="81"/>
      <c r="E76" s="81"/>
      <c r="F76" s="81"/>
      <c r="G76" s="81"/>
      <c r="H76" s="81"/>
      <c r="I76" s="105"/>
      <c r="J76" s="83">
        <v>0.17</v>
      </c>
      <c r="K76" s="83">
        <v>0.17</v>
      </c>
      <c r="L76" s="83">
        <v>0.17</v>
      </c>
      <c r="M76" s="83">
        <v>0.17</v>
      </c>
      <c r="N76" s="83">
        <v>0.17</v>
      </c>
      <c r="O76" s="83">
        <v>0.17</v>
      </c>
    </row>
    <row r="77" spans="1:15" x14ac:dyDescent="0.3">
      <c r="A77" s="72"/>
      <c r="B77" s="72"/>
      <c r="C77" s="81"/>
      <c r="D77" s="81"/>
      <c r="E77" s="81"/>
      <c r="F77" s="81"/>
      <c r="G77" s="81"/>
      <c r="H77" s="81"/>
      <c r="I77" s="105"/>
      <c r="J77" s="81"/>
      <c r="K77" s="81"/>
      <c r="L77" s="81"/>
      <c r="M77" s="81"/>
      <c r="N77" s="81"/>
      <c r="O77" s="81"/>
    </row>
    <row r="78" spans="1:15" x14ac:dyDescent="0.3">
      <c r="A78" s="72"/>
      <c r="B78" s="88" t="s">
        <v>175</v>
      </c>
      <c r="C78" s="89"/>
      <c r="D78" s="89"/>
      <c r="E78" s="89"/>
      <c r="F78" s="89"/>
      <c r="G78" s="89"/>
      <c r="H78" s="89"/>
      <c r="I78" s="113"/>
      <c r="J78" s="89"/>
      <c r="K78" s="89"/>
      <c r="L78" s="89"/>
      <c r="M78" s="89"/>
      <c r="N78" s="89"/>
      <c r="O78" s="89"/>
    </row>
    <row r="79" spans="1:15" x14ac:dyDescent="0.3">
      <c r="A79" s="72"/>
      <c r="B79" s="72"/>
      <c r="C79" s="81"/>
      <c r="D79" s="81"/>
      <c r="E79" s="81"/>
      <c r="F79" s="81"/>
      <c r="G79" s="81"/>
      <c r="H79" s="81"/>
      <c r="I79" s="105"/>
      <c r="J79" s="81"/>
      <c r="K79" s="81"/>
      <c r="L79" s="81"/>
      <c r="M79" s="81"/>
      <c r="N79" s="81"/>
      <c r="O79" s="81"/>
    </row>
    <row r="80" spans="1:15" x14ac:dyDescent="0.3">
      <c r="A80" s="72"/>
      <c r="B80" s="73" t="s">
        <v>176</v>
      </c>
      <c r="C80" s="79">
        <f>'Balance Sheet'!C11</f>
        <v>2918.96</v>
      </c>
      <c r="D80" s="79">
        <f>'Balance Sheet'!D11</f>
        <v>1972.18</v>
      </c>
      <c r="E80" s="79">
        <f>'Balance Sheet'!E11</f>
        <v>1791.37</v>
      </c>
      <c r="F80" s="79">
        <f>'Balance Sheet'!F11</f>
        <v>2968.97</v>
      </c>
      <c r="G80" s="79">
        <f>'Balance Sheet'!G11</f>
        <v>2985.61</v>
      </c>
      <c r="H80" s="79">
        <f>'Balance Sheet'!H11</f>
        <v>4076.06</v>
      </c>
      <c r="I80" s="111">
        <f>'Balance Sheet'!I11</f>
        <v>6194.72</v>
      </c>
      <c r="J80" s="80">
        <f t="shared" ref="J80:O80" si="25">J81*J19</f>
        <v>7655.6</v>
      </c>
      <c r="K80" s="80">
        <f t="shared" si="25"/>
        <v>10627.07791</v>
      </c>
      <c r="L80" s="80">
        <f t="shared" si="25"/>
        <v>12284.361434699998</v>
      </c>
      <c r="M80" s="80">
        <f t="shared" si="25"/>
        <v>12667.004445869999</v>
      </c>
      <c r="N80" s="80">
        <f t="shared" si="25"/>
        <v>12842.035757340242</v>
      </c>
      <c r="O80" s="80">
        <f t="shared" si="25"/>
        <v>12449.995671627976</v>
      </c>
    </row>
    <row r="81" spans="1:15" x14ac:dyDescent="0.3">
      <c r="A81" s="72"/>
      <c r="B81" s="72" t="s">
        <v>164</v>
      </c>
      <c r="C81" s="82">
        <f t="shared" ref="C81:I81" si="26">C80/C19</f>
        <v>0.14516490790431019</v>
      </c>
      <c r="D81" s="82">
        <f t="shared" si="26"/>
        <v>9.2875122146481595E-2</v>
      </c>
      <c r="E81" s="82">
        <f t="shared" si="26"/>
        <v>7.7884974913261629E-2</v>
      </c>
      <c r="F81" s="82">
        <f t="shared" si="26"/>
        <v>9.5400793418724705E-2</v>
      </c>
      <c r="G81" s="82">
        <f t="shared" si="26"/>
        <v>8.9400040184369006E-2</v>
      </c>
      <c r="H81" s="82">
        <f t="shared" si="26"/>
        <v>8.5919595956189254E-2</v>
      </c>
      <c r="I81" s="112">
        <f t="shared" si="26"/>
        <v>0.10760210676904297</v>
      </c>
      <c r="J81" s="82">
        <f t="shared" ref="J81:O81" si="27">IF($D$3="Base",J82,IF($D$3="Bull",J83,J84))</f>
        <v>0.1</v>
      </c>
      <c r="K81" s="82">
        <f t="shared" si="27"/>
        <v>9.5000000000000001E-2</v>
      </c>
      <c r="L81" s="82">
        <f t="shared" si="27"/>
        <v>9.2999999999999999E-2</v>
      </c>
      <c r="M81" s="82">
        <f t="shared" si="27"/>
        <v>0.09</v>
      </c>
      <c r="N81" s="82">
        <f t="shared" si="27"/>
        <v>8.7999999999999995E-2</v>
      </c>
      <c r="O81" s="82">
        <f t="shared" si="27"/>
        <v>8.5000000000000006E-2</v>
      </c>
    </row>
    <row r="82" spans="1:15" x14ac:dyDescent="0.3">
      <c r="A82" s="72"/>
      <c r="B82" s="72" t="s">
        <v>114</v>
      </c>
      <c r="C82" s="81"/>
      <c r="D82" s="81"/>
      <c r="E82" s="81"/>
      <c r="F82" s="81"/>
      <c r="G82" s="81"/>
      <c r="H82" s="81"/>
      <c r="I82" s="105"/>
      <c r="J82" s="83">
        <v>9.5000000000000001E-2</v>
      </c>
      <c r="K82" s="83">
        <v>0.09</v>
      </c>
      <c r="L82" s="83">
        <v>8.7999999999999995E-2</v>
      </c>
      <c r="M82" s="83">
        <v>8.5000000000000006E-2</v>
      </c>
      <c r="N82" s="83">
        <v>8.3000000000000004E-2</v>
      </c>
      <c r="O82" s="83">
        <v>0.08</v>
      </c>
    </row>
    <row r="83" spans="1:15" x14ac:dyDescent="0.3">
      <c r="A83" s="72"/>
      <c r="B83" s="72" t="s">
        <v>115</v>
      </c>
      <c r="C83" s="81"/>
      <c r="D83" s="81"/>
      <c r="E83" s="81"/>
      <c r="F83" s="81"/>
      <c r="G83" s="81"/>
      <c r="H83" s="81"/>
      <c r="I83" s="105"/>
      <c r="J83" s="83">
        <v>0.09</v>
      </c>
      <c r="K83" s="83">
        <v>8.5000000000000006E-2</v>
      </c>
      <c r="L83" s="83">
        <v>8.2000000000000003E-2</v>
      </c>
      <c r="M83" s="83">
        <v>0.08</v>
      </c>
      <c r="N83" s="83">
        <v>7.8E-2</v>
      </c>
      <c r="O83" s="83">
        <v>7.4999999999999997E-2</v>
      </c>
    </row>
    <row r="84" spans="1:15" x14ac:dyDescent="0.3">
      <c r="A84" s="72"/>
      <c r="B84" s="72" t="s">
        <v>113</v>
      </c>
      <c r="C84" s="81"/>
      <c r="D84" s="81"/>
      <c r="E84" s="81"/>
      <c r="F84" s="81"/>
      <c r="G84" s="81"/>
      <c r="H84" s="81"/>
      <c r="I84" s="105"/>
      <c r="J84" s="83">
        <v>0.1</v>
      </c>
      <c r="K84" s="83">
        <v>9.5000000000000001E-2</v>
      </c>
      <c r="L84" s="83">
        <v>9.2999999999999999E-2</v>
      </c>
      <c r="M84" s="83">
        <v>0.09</v>
      </c>
      <c r="N84" s="83">
        <v>8.7999999999999995E-2</v>
      </c>
      <c r="O84" s="83">
        <v>8.5000000000000006E-2</v>
      </c>
    </row>
    <row r="85" spans="1:15" x14ac:dyDescent="0.3">
      <c r="A85" s="72"/>
      <c r="B85" s="72"/>
      <c r="C85" s="81"/>
      <c r="D85" s="81"/>
      <c r="E85" s="81"/>
      <c r="F85" s="81"/>
      <c r="G85" s="81"/>
      <c r="H85" s="81"/>
      <c r="I85" s="105"/>
      <c r="J85" s="81"/>
      <c r="K85" s="81"/>
      <c r="L85" s="81"/>
      <c r="M85" s="81"/>
      <c r="N85" s="81"/>
      <c r="O85" s="81"/>
    </row>
    <row r="86" spans="1:15" x14ac:dyDescent="0.3">
      <c r="A86" s="72"/>
      <c r="B86" s="73" t="s">
        <v>177</v>
      </c>
      <c r="C86" s="79">
        <f>'Balance Sheet'!C12</f>
        <v>782.81</v>
      </c>
      <c r="D86" s="79">
        <f>'Balance Sheet'!D12</f>
        <v>861.17</v>
      </c>
      <c r="E86" s="79">
        <f>'Balance Sheet'!E12</f>
        <v>1121.8800000000001</v>
      </c>
      <c r="F86" s="79">
        <f>'Balance Sheet'!F12</f>
        <v>1932.14</v>
      </c>
      <c r="G86" s="79">
        <f>'Balance Sheet'!G12</f>
        <v>1796.67</v>
      </c>
      <c r="H86" s="79">
        <f>'Balance Sheet'!H12</f>
        <v>1624.52</v>
      </c>
      <c r="I86" s="111">
        <f>'Balance Sheet'!I12</f>
        <v>1968.09</v>
      </c>
      <c r="J86" s="80">
        <f t="shared" ref="J86:O86" si="28">J87*J19</f>
        <v>2679.46</v>
      </c>
      <c r="K86" s="80">
        <f t="shared" si="28"/>
        <v>3803.3752520000003</v>
      </c>
      <c r="L86" s="80">
        <f t="shared" si="28"/>
        <v>4358.9669606999996</v>
      </c>
      <c r="M86" s="80">
        <f t="shared" si="28"/>
        <v>4503.8238029760005</v>
      </c>
      <c r="N86" s="80">
        <f t="shared" si="28"/>
        <v>4377.9667354569001</v>
      </c>
      <c r="O86" s="80">
        <f t="shared" si="28"/>
        <v>4247.6455820848387</v>
      </c>
    </row>
    <row r="87" spans="1:15" x14ac:dyDescent="0.3">
      <c r="A87" s="72"/>
      <c r="B87" s="72" t="s">
        <v>164</v>
      </c>
      <c r="C87" s="82">
        <f t="shared" ref="C87:I87" si="29">C86/C19</f>
        <v>3.893048947452965E-2</v>
      </c>
      <c r="D87" s="82">
        <f t="shared" si="29"/>
        <v>4.0554751056640644E-2</v>
      </c>
      <c r="E87" s="82">
        <f t="shared" si="29"/>
        <v>4.8776967156807342E-2</v>
      </c>
      <c r="F87" s="82">
        <f t="shared" si="29"/>
        <v>6.2084726014764301E-2</v>
      </c>
      <c r="G87" s="82">
        <f t="shared" si="29"/>
        <v>5.3798845193461391E-2</v>
      </c>
      <c r="H87" s="82">
        <f t="shared" si="29"/>
        <v>3.424338749251693E-2</v>
      </c>
      <c r="I87" s="112">
        <f t="shared" si="29"/>
        <v>3.4185666230448795E-2</v>
      </c>
      <c r="J87" s="82">
        <f t="shared" ref="J87:O87" si="30">IF($D$3="Base",J88,IF($D$3="Bull",J89,J90))</f>
        <v>3.5000000000000003E-2</v>
      </c>
      <c r="K87" s="82">
        <f t="shared" si="30"/>
        <v>3.4000000000000002E-2</v>
      </c>
      <c r="L87" s="82">
        <f t="shared" si="30"/>
        <v>3.3000000000000002E-2</v>
      </c>
      <c r="M87" s="82">
        <f t="shared" si="30"/>
        <v>3.2000000000000001E-2</v>
      </c>
      <c r="N87" s="82">
        <f t="shared" si="30"/>
        <v>0.03</v>
      </c>
      <c r="O87" s="82">
        <f t="shared" si="30"/>
        <v>2.9000000000000001E-2</v>
      </c>
    </row>
    <row r="88" spans="1:15" x14ac:dyDescent="0.3">
      <c r="A88" s="72"/>
      <c r="B88" s="72" t="s">
        <v>114</v>
      </c>
      <c r="C88" s="81"/>
      <c r="D88" s="81"/>
      <c r="E88" s="81"/>
      <c r="F88" s="81"/>
      <c r="G88" s="81"/>
      <c r="H88" s="81"/>
      <c r="I88" s="105"/>
      <c r="J88" s="83">
        <v>3.3000000000000002E-2</v>
      </c>
      <c r="K88" s="83">
        <v>3.2000000000000001E-2</v>
      </c>
      <c r="L88" s="83">
        <v>3.1E-2</v>
      </c>
      <c r="M88" s="83">
        <v>0.03</v>
      </c>
      <c r="N88" s="83">
        <v>2.8000000000000001E-2</v>
      </c>
      <c r="O88" s="83">
        <v>2.7E-2</v>
      </c>
    </row>
    <row r="89" spans="1:15" x14ac:dyDescent="0.3">
      <c r="A89" s="72"/>
      <c r="B89" s="72" t="s">
        <v>115</v>
      </c>
      <c r="C89" s="81"/>
      <c r="D89" s="81"/>
      <c r="E89" s="81"/>
      <c r="F89" s="81"/>
      <c r="G89" s="81"/>
      <c r="H89" s="81"/>
      <c r="I89" s="105"/>
      <c r="J89" s="83">
        <v>0.03</v>
      </c>
      <c r="K89" s="83">
        <v>2.8000000000000001E-2</v>
      </c>
      <c r="L89" s="83">
        <v>2.7E-2</v>
      </c>
      <c r="M89" s="83">
        <v>2.5000000000000001E-2</v>
      </c>
      <c r="N89" s="83">
        <v>2.4E-2</v>
      </c>
      <c r="O89" s="83">
        <v>2.3E-2</v>
      </c>
    </row>
    <row r="90" spans="1:15" x14ac:dyDescent="0.3">
      <c r="A90" s="72"/>
      <c r="B90" s="72" t="s">
        <v>113</v>
      </c>
      <c r="C90" s="81"/>
      <c r="D90" s="81"/>
      <c r="E90" s="81"/>
      <c r="F90" s="81"/>
      <c r="G90" s="81"/>
      <c r="H90" s="81"/>
      <c r="I90" s="105"/>
      <c r="J90" s="83">
        <v>3.5000000000000003E-2</v>
      </c>
      <c r="K90" s="83">
        <v>3.4000000000000002E-2</v>
      </c>
      <c r="L90" s="83">
        <v>3.3000000000000002E-2</v>
      </c>
      <c r="M90" s="83">
        <v>3.2000000000000001E-2</v>
      </c>
      <c r="N90" s="83">
        <v>0.03</v>
      </c>
      <c r="O90" s="83">
        <v>2.9000000000000001E-2</v>
      </c>
    </row>
    <row r="91" spans="1:15" x14ac:dyDescent="0.3">
      <c r="A91" s="72"/>
      <c r="B91" s="72"/>
      <c r="C91" s="81"/>
      <c r="D91" s="81"/>
      <c r="E91" s="81"/>
      <c r="F91" s="81"/>
      <c r="G91" s="81"/>
      <c r="H91" s="81"/>
      <c r="I91" s="105"/>
      <c r="J91" s="81"/>
      <c r="K91" s="81"/>
      <c r="L91" s="81"/>
      <c r="M91" s="81"/>
      <c r="N91" s="81"/>
      <c r="O91" s="81"/>
    </row>
    <row r="92" spans="1:15" x14ac:dyDescent="0.3">
      <c r="A92" s="72"/>
      <c r="B92" s="73" t="s">
        <v>178</v>
      </c>
      <c r="C92" s="79">
        <f>'Balance Sheet'!C27</f>
        <v>765.79</v>
      </c>
      <c r="D92" s="79">
        <f>'Balance Sheet'!D27</f>
        <v>717.78</v>
      </c>
      <c r="E92" s="79">
        <f>'Balance Sheet'!E27</f>
        <v>939.37</v>
      </c>
      <c r="F92" s="79">
        <f>'Balance Sheet'!F27</f>
        <v>1001.7</v>
      </c>
      <c r="G92" s="79">
        <f>'Balance Sheet'!G27</f>
        <v>1145.4000000000001</v>
      </c>
      <c r="H92" s="79">
        <f>'Balance Sheet'!H27</f>
        <v>1534.06</v>
      </c>
      <c r="I92" s="111">
        <f>'Balance Sheet'!I27</f>
        <v>1352.52</v>
      </c>
      <c r="J92" s="80">
        <f t="shared" ref="J92:O92" si="31">J93*J19</f>
        <v>1913.9</v>
      </c>
      <c r="K92" s="80">
        <f t="shared" si="31"/>
        <v>2796.5994500000002</v>
      </c>
      <c r="L92" s="80">
        <f t="shared" si="31"/>
        <v>3302.2476975</v>
      </c>
      <c r="M92" s="80">
        <f t="shared" si="31"/>
        <v>3518.6123460750005</v>
      </c>
      <c r="N92" s="80">
        <f t="shared" si="31"/>
        <v>3648.3056128807507</v>
      </c>
      <c r="O92" s="80">
        <f t="shared" si="31"/>
        <v>3661.7634328317577</v>
      </c>
    </row>
    <row r="93" spans="1:15" x14ac:dyDescent="0.3">
      <c r="A93" s="72"/>
      <c r="B93" s="72" t="s">
        <v>164</v>
      </c>
      <c r="C93" s="82">
        <f t="shared" ref="C93:I93" si="32">C92/C19</f>
        <v>3.8084055562269341E-2</v>
      </c>
      <c r="D93" s="82">
        <f t="shared" si="32"/>
        <v>3.3802140359552146E-2</v>
      </c>
      <c r="E93" s="82">
        <f t="shared" si="32"/>
        <v>4.0841818766793339E-2</v>
      </c>
      <c r="F93" s="82">
        <f t="shared" si="32"/>
        <v>3.2187248361396893E-2</v>
      </c>
      <c r="G93" s="82">
        <f t="shared" si="32"/>
        <v>3.429744877166685E-2</v>
      </c>
      <c r="H93" s="82">
        <f t="shared" si="32"/>
        <v>3.2336573890608004E-2</v>
      </c>
      <c r="I93" s="112">
        <f t="shared" si="32"/>
        <v>2.349323318039653E-2</v>
      </c>
      <c r="J93" s="82">
        <f t="shared" ref="J93:O93" si="33">IF($D$3="Base",J94,IF($D$3="Bull",J95,J96))</f>
        <v>2.5000000000000001E-2</v>
      </c>
      <c r="K93" s="82">
        <f t="shared" si="33"/>
        <v>2.5000000000000001E-2</v>
      </c>
      <c r="L93" s="82">
        <f t="shared" si="33"/>
        <v>2.5000000000000001E-2</v>
      </c>
      <c r="M93" s="82">
        <f t="shared" si="33"/>
        <v>2.5000000000000001E-2</v>
      </c>
      <c r="N93" s="82">
        <f t="shared" si="33"/>
        <v>2.5000000000000001E-2</v>
      </c>
      <c r="O93" s="82">
        <f t="shared" si="33"/>
        <v>2.5000000000000001E-2</v>
      </c>
    </row>
    <row r="94" spans="1:15" x14ac:dyDescent="0.3">
      <c r="A94" s="72"/>
      <c r="B94" s="72" t="s">
        <v>114</v>
      </c>
      <c r="C94" s="81"/>
      <c r="D94" s="81"/>
      <c r="E94" s="81"/>
      <c r="F94" s="81"/>
      <c r="G94" s="81"/>
      <c r="H94" s="81"/>
      <c r="I94" s="105"/>
      <c r="J94" s="83">
        <v>2.8000000000000001E-2</v>
      </c>
      <c r="K94" s="83">
        <v>2.8000000000000001E-2</v>
      </c>
      <c r="L94" s="83">
        <v>2.8000000000000001E-2</v>
      </c>
      <c r="M94" s="83">
        <v>2.8000000000000001E-2</v>
      </c>
      <c r="N94" s="83">
        <v>2.8000000000000001E-2</v>
      </c>
      <c r="O94" s="83">
        <v>2.8000000000000001E-2</v>
      </c>
    </row>
    <row r="95" spans="1:15" x14ac:dyDescent="0.3">
      <c r="A95" s="72"/>
      <c r="B95" s="72" t="s">
        <v>115</v>
      </c>
      <c r="C95" s="81"/>
      <c r="D95" s="81"/>
      <c r="E95" s="81"/>
      <c r="F95" s="81"/>
      <c r="G95" s="81"/>
      <c r="H95" s="81"/>
      <c r="I95" s="105"/>
      <c r="J95" s="83">
        <v>0.03</v>
      </c>
      <c r="K95" s="83">
        <v>3.2000000000000001E-2</v>
      </c>
      <c r="L95" s="83">
        <v>3.3000000000000002E-2</v>
      </c>
      <c r="M95" s="83">
        <v>3.5000000000000003E-2</v>
      </c>
      <c r="N95" s="83">
        <v>3.5000000000000003E-2</v>
      </c>
      <c r="O95" s="83">
        <v>3.5000000000000003E-2</v>
      </c>
    </row>
    <row r="96" spans="1:15" x14ac:dyDescent="0.3">
      <c r="A96" s="72"/>
      <c r="B96" s="72" t="s">
        <v>113</v>
      </c>
      <c r="C96" s="81"/>
      <c r="D96" s="81"/>
      <c r="E96" s="81"/>
      <c r="F96" s="81"/>
      <c r="G96" s="81"/>
      <c r="H96" s="81"/>
      <c r="I96" s="105"/>
      <c r="J96" s="83">
        <v>2.5000000000000001E-2</v>
      </c>
      <c r="K96" s="83">
        <v>2.5000000000000001E-2</v>
      </c>
      <c r="L96" s="83">
        <v>2.5000000000000001E-2</v>
      </c>
      <c r="M96" s="83">
        <v>2.5000000000000001E-2</v>
      </c>
      <c r="N96" s="83">
        <v>2.5000000000000001E-2</v>
      </c>
      <c r="O96" s="83">
        <v>2.5000000000000001E-2</v>
      </c>
    </row>
    <row r="97" spans="1:15" x14ac:dyDescent="0.3">
      <c r="A97" s="72"/>
      <c r="B97" s="72"/>
      <c r="C97" s="81"/>
      <c r="D97" s="81"/>
      <c r="E97" s="81"/>
      <c r="F97" s="81"/>
      <c r="G97" s="81"/>
      <c r="H97" s="81"/>
      <c r="I97" s="105"/>
      <c r="J97" s="81"/>
      <c r="K97" s="81"/>
      <c r="L97" s="81"/>
      <c r="M97" s="81"/>
      <c r="N97" s="81"/>
      <c r="O97" s="81"/>
    </row>
    <row r="98" spans="1:15" x14ac:dyDescent="0.3">
      <c r="A98" s="72"/>
      <c r="B98" s="73" t="s">
        <v>179</v>
      </c>
      <c r="C98" s="79">
        <f>'Balance Sheet'!C30</f>
        <v>2343.0500000000002</v>
      </c>
      <c r="D98" s="79">
        <f>'Balance Sheet'!D30</f>
        <v>3289.26</v>
      </c>
      <c r="E98" s="79">
        <f>'Balance Sheet'!E30</f>
        <v>3320.66</v>
      </c>
      <c r="F98" s="79">
        <f>'Balance Sheet'!F30</f>
        <v>4428.37</v>
      </c>
      <c r="G98" s="79">
        <f>'Balance Sheet'!G30</f>
        <v>3457.02</v>
      </c>
      <c r="H98" s="79">
        <f>'Balance Sheet'!H30</f>
        <v>10885.17</v>
      </c>
      <c r="I98" s="111">
        <f>'Balance Sheet'!I30</f>
        <v>10120.49</v>
      </c>
      <c r="J98" s="80">
        <f t="shared" ref="J98:O98" si="34">J99*J19</f>
        <v>13014.52</v>
      </c>
      <c r="K98" s="80">
        <f t="shared" si="34"/>
        <v>17898.23648</v>
      </c>
      <c r="L98" s="80">
        <f t="shared" si="34"/>
        <v>19813.486184999998</v>
      </c>
      <c r="M98" s="80">
        <f t="shared" si="34"/>
        <v>19704.229138020004</v>
      </c>
      <c r="N98" s="80">
        <f t="shared" si="34"/>
        <v>20430.511432132203</v>
      </c>
      <c r="O98" s="80">
        <f t="shared" si="34"/>
        <v>19041.169850725139</v>
      </c>
    </row>
    <row r="99" spans="1:15" x14ac:dyDescent="0.3">
      <c r="A99" s="72"/>
      <c r="B99" s="72" t="s">
        <v>164</v>
      </c>
      <c r="C99" s="82">
        <f t="shared" ref="C99:I99" si="35">C98/C19</f>
        <v>0.11652391175802136</v>
      </c>
      <c r="D99" s="82">
        <f t="shared" si="35"/>
        <v>0.15489986931798114</v>
      </c>
      <c r="E99" s="82">
        <f t="shared" si="35"/>
        <v>0.14437526630203218</v>
      </c>
      <c r="F99" s="82">
        <f t="shared" si="35"/>
        <v>0.14229514328257878</v>
      </c>
      <c r="G99" s="82">
        <f t="shared" si="35"/>
        <v>0.10351577296370501</v>
      </c>
      <c r="H99" s="82">
        <f t="shared" si="35"/>
        <v>0.22944937226498938</v>
      </c>
      <c r="I99" s="112">
        <f t="shared" si="35"/>
        <v>0.1757926178318038</v>
      </c>
      <c r="J99" s="82">
        <f t="shared" ref="J99:O99" si="36">IF($D$3="Base",J100,IF($D$3="Bull",J101,J102))</f>
        <v>0.17</v>
      </c>
      <c r="K99" s="82">
        <f t="shared" si="36"/>
        <v>0.16</v>
      </c>
      <c r="L99" s="82">
        <f t="shared" si="36"/>
        <v>0.15</v>
      </c>
      <c r="M99" s="82">
        <f t="shared" si="36"/>
        <v>0.14000000000000001</v>
      </c>
      <c r="N99" s="82">
        <f t="shared" si="36"/>
        <v>0.14000000000000001</v>
      </c>
      <c r="O99" s="82">
        <f t="shared" si="36"/>
        <v>0.13</v>
      </c>
    </row>
    <row r="100" spans="1:15" x14ac:dyDescent="0.3">
      <c r="A100" s="72"/>
      <c r="B100" s="72" t="s">
        <v>114</v>
      </c>
      <c r="C100" s="81"/>
      <c r="D100" s="81"/>
      <c r="E100" s="81"/>
      <c r="F100" s="81"/>
      <c r="G100" s="81"/>
      <c r="H100" s="81"/>
      <c r="I100" s="105"/>
      <c r="J100" s="83">
        <v>0.18</v>
      </c>
      <c r="K100" s="83">
        <v>0.17</v>
      </c>
      <c r="L100" s="83">
        <v>0.16</v>
      </c>
      <c r="M100" s="83">
        <v>0.15</v>
      </c>
      <c r="N100" s="83">
        <v>0.15</v>
      </c>
      <c r="O100" s="83">
        <v>0.14000000000000001</v>
      </c>
    </row>
    <row r="101" spans="1:15" x14ac:dyDescent="0.3">
      <c r="A101" s="72"/>
      <c r="B101" s="72" t="s">
        <v>115</v>
      </c>
      <c r="C101" s="81"/>
      <c r="D101" s="81"/>
      <c r="E101" s="81"/>
      <c r="F101" s="81"/>
      <c r="G101" s="81"/>
      <c r="H101" s="81"/>
      <c r="I101" s="105"/>
      <c r="J101" s="83">
        <v>0.19</v>
      </c>
      <c r="K101" s="83">
        <v>0.18</v>
      </c>
      <c r="L101" s="83">
        <v>0.17</v>
      </c>
      <c r="M101" s="83">
        <v>0.16</v>
      </c>
      <c r="N101" s="83">
        <v>0.16</v>
      </c>
      <c r="O101" s="83">
        <v>0.15</v>
      </c>
    </row>
    <row r="102" spans="1:15" x14ac:dyDescent="0.3">
      <c r="A102" s="72"/>
      <c r="B102" s="72" t="s">
        <v>113</v>
      </c>
      <c r="C102" s="81"/>
      <c r="D102" s="81"/>
      <c r="E102" s="81"/>
      <c r="F102" s="81"/>
      <c r="G102" s="81"/>
      <c r="H102" s="81"/>
      <c r="I102" s="105"/>
      <c r="J102" s="83">
        <v>0.17</v>
      </c>
      <c r="K102" s="83">
        <v>0.16</v>
      </c>
      <c r="L102" s="83">
        <v>0.15</v>
      </c>
      <c r="M102" s="83">
        <v>0.14000000000000001</v>
      </c>
      <c r="N102" s="83">
        <v>0.14000000000000001</v>
      </c>
      <c r="O102" s="83">
        <v>0.13</v>
      </c>
    </row>
    <row r="103" spans="1:15" x14ac:dyDescent="0.3">
      <c r="A103" s="72"/>
      <c r="B103" s="72"/>
      <c r="C103" s="72"/>
      <c r="D103" s="72"/>
      <c r="E103" s="72"/>
      <c r="F103" s="72"/>
      <c r="G103" s="72"/>
      <c r="H103" s="72"/>
      <c r="I103" s="104"/>
      <c r="J103" s="72"/>
      <c r="K103" s="72"/>
      <c r="L103" s="72"/>
      <c r="M103" s="72"/>
      <c r="N103" s="72"/>
      <c r="O103" s="72"/>
    </row>
    <row r="104" spans="1:15" x14ac:dyDescent="0.3">
      <c r="A104" s="72"/>
      <c r="B104" s="182" t="s">
        <v>216</v>
      </c>
      <c r="C104" s="88"/>
      <c r="D104" s="88"/>
      <c r="E104" s="88"/>
      <c r="F104" s="88"/>
      <c r="G104" s="88"/>
      <c r="H104" s="88"/>
      <c r="I104" s="193"/>
      <c r="J104" s="88"/>
      <c r="K104" s="88"/>
      <c r="L104" s="88"/>
      <c r="M104" s="88"/>
      <c r="N104" s="88"/>
      <c r="O104" s="88"/>
    </row>
    <row r="105" spans="1:15" x14ac:dyDescent="0.3">
      <c r="A105" s="72"/>
      <c r="B105" s="72" t="s">
        <v>217</v>
      </c>
      <c r="C105" s="72"/>
      <c r="D105" s="72"/>
      <c r="E105" s="72"/>
      <c r="F105" s="72"/>
      <c r="G105" s="72"/>
      <c r="H105" s="72"/>
      <c r="I105" s="104"/>
      <c r="J105" s="144">
        <f>IF($D$3="Base",J106,IF($D$3="Bull",J107,J108))</f>
        <v>20.5</v>
      </c>
      <c r="K105" s="72"/>
      <c r="L105" s="72"/>
      <c r="M105" s="72"/>
      <c r="N105" s="72"/>
      <c r="O105" s="72"/>
    </row>
    <row r="106" spans="1:15" x14ac:dyDescent="0.3">
      <c r="A106" s="72"/>
      <c r="B106" s="72" t="s">
        <v>114</v>
      </c>
      <c r="C106" s="72"/>
      <c r="D106" s="72"/>
      <c r="E106" s="72"/>
      <c r="F106" s="72"/>
      <c r="G106" s="72"/>
      <c r="H106" s="72"/>
      <c r="I106" s="104"/>
      <c r="J106" s="145">
        <v>20</v>
      </c>
      <c r="K106" s="72"/>
      <c r="L106" s="72"/>
      <c r="M106" s="72"/>
      <c r="N106" s="72"/>
      <c r="O106" s="72"/>
    </row>
    <row r="107" spans="1:15" x14ac:dyDescent="0.3">
      <c r="A107" s="72"/>
      <c r="B107" s="72" t="s">
        <v>115</v>
      </c>
      <c r="C107" s="72"/>
      <c r="D107" s="72"/>
      <c r="E107" s="72"/>
      <c r="F107" s="72"/>
      <c r="G107" s="72"/>
      <c r="H107" s="72"/>
      <c r="I107" s="104"/>
      <c r="J107" s="145">
        <v>21</v>
      </c>
      <c r="K107" s="72"/>
      <c r="L107" s="72"/>
      <c r="M107" s="72"/>
      <c r="N107" s="72"/>
      <c r="O107" s="72"/>
    </row>
    <row r="108" spans="1:15" x14ac:dyDescent="0.3">
      <c r="A108" s="72"/>
      <c r="B108" s="72" t="s">
        <v>113</v>
      </c>
      <c r="C108" s="72"/>
      <c r="D108" s="72"/>
      <c r="E108" s="72"/>
      <c r="F108" s="72"/>
      <c r="G108" s="72"/>
      <c r="H108" s="72"/>
      <c r="I108" s="104"/>
      <c r="J108" s="145">
        <v>20.5</v>
      </c>
      <c r="K108" s="72"/>
      <c r="L108" s="72"/>
      <c r="M108" s="72"/>
      <c r="N108" s="72"/>
      <c r="O108" s="72"/>
    </row>
    <row r="109" spans="1:15" x14ac:dyDescent="0.3">
      <c r="A109" s="72"/>
      <c r="K109" s="72"/>
      <c r="L109" s="72"/>
      <c r="M109" s="72"/>
      <c r="N109" s="72"/>
      <c r="O109" s="72"/>
    </row>
    <row r="110" spans="1:15" x14ac:dyDescent="0.3">
      <c r="A110" s="72"/>
      <c r="K110" s="72"/>
      <c r="L110" s="72"/>
      <c r="M110" s="72"/>
      <c r="N110" s="72"/>
      <c r="O110" s="72"/>
    </row>
    <row r="111" spans="1:15" x14ac:dyDescent="0.3">
      <c r="A111" s="72"/>
      <c r="K111" s="72"/>
      <c r="L111" s="72"/>
      <c r="M111" s="72"/>
      <c r="N111" s="72"/>
      <c r="O111" s="72"/>
    </row>
    <row r="112" spans="1:15" x14ac:dyDescent="0.3">
      <c r="A112" s="72"/>
      <c r="K112" s="72"/>
      <c r="L112" s="72"/>
      <c r="M112" s="72"/>
      <c r="N112" s="72"/>
      <c r="O112" s="72"/>
    </row>
    <row r="113" spans="1:15" x14ac:dyDescent="0.3">
      <c r="A113" s="72"/>
      <c r="K113" s="72"/>
      <c r="L113" s="72"/>
      <c r="M113" s="72"/>
      <c r="N113" s="72"/>
      <c r="O113" s="72"/>
    </row>
    <row r="114" spans="1:15" x14ac:dyDescent="0.3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1:15" x14ac:dyDescent="0.3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1:15" x14ac:dyDescent="0.3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1:15" x14ac:dyDescent="0.3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1:15" x14ac:dyDescent="0.3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1:15" x14ac:dyDescent="0.3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1:15" x14ac:dyDescent="0.3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1:15" x14ac:dyDescent="0.3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1:15" x14ac:dyDescent="0.3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1:15" x14ac:dyDescent="0.3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1:15" x14ac:dyDescent="0.3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1:15" x14ac:dyDescent="0.3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1:15" x14ac:dyDescent="0.3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1:15" x14ac:dyDescent="0.3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1:15" x14ac:dyDescent="0.3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3BB6-7C71-4D69-B8C1-D5E261F99547}">
  <dimension ref="B2:O110"/>
  <sheetViews>
    <sheetView showGridLines="0" zoomScale="90" zoomScaleNormal="90" workbookViewId="0"/>
  </sheetViews>
  <sheetFormatPr defaultRowHeight="14.4" x14ac:dyDescent="0.3"/>
  <cols>
    <col min="1" max="1" width="2.77734375" style="194" customWidth="1"/>
    <col min="2" max="2" width="48.109375" style="194" customWidth="1"/>
    <col min="3" max="15" width="14.77734375" style="194" customWidth="1"/>
    <col min="16" max="16384" width="8.88671875" style="194"/>
  </cols>
  <sheetData>
    <row r="2" spans="2:15" x14ac:dyDescent="0.3">
      <c r="B2" s="195" t="s">
        <v>220</v>
      </c>
    </row>
    <row r="3" spans="2:15" x14ac:dyDescent="0.3">
      <c r="B3" s="194" t="s">
        <v>125</v>
      </c>
      <c r="C3" s="196" t="s">
        <v>148</v>
      </c>
      <c r="D3" s="197" t="str">
        <f>Control!F6</f>
        <v>Bear</v>
      </c>
    </row>
    <row r="5" spans="2:15" ht="15" thickBot="1" x14ac:dyDescent="0.35">
      <c r="B5" s="198" t="s">
        <v>149</v>
      </c>
      <c r="C5" s="199" t="s">
        <v>185</v>
      </c>
      <c r="D5" s="199" t="s">
        <v>150</v>
      </c>
      <c r="E5" s="199" t="s">
        <v>151</v>
      </c>
      <c r="F5" s="199" t="s">
        <v>152</v>
      </c>
      <c r="G5" s="199" t="s">
        <v>153</v>
      </c>
      <c r="H5" s="199" t="s">
        <v>154</v>
      </c>
      <c r="I5" s="199" t="s">
        <v>155</v>
      </c>
      <c r="J5" s="205" t="s">
        <v>156</v>
      </c>
      <c r="K5" s="199" t="s">
        <v>157</v>
      </c>
      <c r="L5" s="199" t="s">
        <v>158</v>
      </c>
      <c r="M5" s="199" t="s">
        <v>159</v>
      </c>
      <c r="N5" s="199" t="s">
        <v>160</v>
      </c>
      <c r="O5" s="199" t="s">
        <v>161</v>
      </c>
    </row>
    <row r="6" spans="2:15" x14ac:dyDescent="0.3">
      <c r="J6" s="206"/>
    </row>
    <row r="7" spans="2:15" x14ac:dyDescent="0.3">
      <c r="B7" s="249" t="s">
        <v>256</v>
      </c>
      <c r="J7" s="206"/>
    </row>
    <row r="8" spans="2:15" x14ac:dyDescent="0.3">
      <c r="J8" s="206"/>
    </row>
    <row r="9" spans="2:15" x14ac:dyDescent="0.3">
      <c r="B9" s="195" t="s">
        <v>221</v>
      </c>
      <c r="C9" s="218">
        <v>0</v>
      </c>
      <c r="D9" s="218">
        <v>0</v>
      </c>
      <c r="E9" s="218">
        <v>0</v>
      </c>
      <c r="F9" s="218">
        <v>0</v>
      </c>
      <c r="G9" s="219">
        <v>3500</v>
      </c>
      <c r="H9" s="219">
        <v>8500</v>
      </c>
      <c r="I9" s="219">
        <v>14500</v>
      </c>
      <c r="J9" s="220">
        <f t="shared" ref="J9:O9" si="0">IF($D$3="Base",J10,IF($D$3="Bull",J11,J12))</f>
        <v>22000</v>
      </c>
      <c r="K9" s="221">
        <f t="shared" si="0"/>
        <v>36000</v>
      </c>
      <c r="L9" s="221">
        <f t="shared" si="0"/>
        <v>42000</v>
      </c>
      <c r="M9" s="221">
        <f t="shared" si="0"/>
        <v>44000</v>
      </c>
      <c r="N9" s="221">
        <f t="shared" si="0"/>
        <v>45000</v>
      </c>
      <c r="O9" s="221">
        <f t="shared" si="0"/>
        <v>45000</v>
      </c>
    </row>
    <row r="10" spans="2:15" x14ac:dyDescent="0.3">
      <c r="B10" s="194" t="s">
        <v>222</v>
      </c>
      <c r="J10" s="222">
        <v>30000</v>
      </c>
      <c r="K10" s="223">
        <v>48000</v>
      </c>
      <c r="L10" s="223">
        <v>56000</v>
      </c>
      <c r="M10" s="223">
        <v>60000</v>
      </c>
      <c r="N10" s="223">
        <v>62000</v>
      </c>
      <c r="O10" s="223">
        <v>63000</v>
      </c>
    </row>
    <row r="11" spans="2:15" x14ac:dyDescent="0.3">
      <c r="B11" s="194" t="s">
        <v>223</v>
      </c>
      <c r="J11" s="222">
        <v>37000</v>
      </c>
      <c r="K11" s="223">
        <v>62000</v>
      </c>
      <c r="L11" s="223">
        <v>72000</v>
      </c>
      <c r="M11" s="223">
        <v>75000</v>
      </c>
      <c r="N11" s="223">
        <v>77000</v>
      </c>
      <c r="O11" s="223">
        <v>78000</v>
      </c>
    </row>
    <row r="12" spans="2:15" x14ac:dyDescent="0.3">
      <c r="B12" s="194" t="s">
        <v>224</v>
      </c>
      <c r="J12" s="222">
        <v>22000</v>
      </c>
      <c r="K12" s="223">
        <v>36000</v>
      </c>
      <c r="L12" s="223">
        <v>42000</v>
      </c>
      <c r="M12" s="223">
        <v>44000</v>
      </c>
      <c r="N12" s="223">
        <v>45000</v>
      </c>
      <c r="O12" s="223">
        <v>45000</v>
      </c>
    </row>
    <row r="13" spans="2:15" x14ac:dyDescent="0.3">
      <c r="J13" s="206"/>
    </row>
    <row r="14" spans="2:15" x14ac:dyDescent="0.3">
      <c r="B14" s="195" t="s">
        <v>225</v>
      </c>
      <c r="C14" s="218">
        <v>0</v>
      </c>
      <c r="D14" s="218">
        <v>0</v>
      </c>
      <c r="E14" s="218">
        <v>0</v>
      </c>
      <c r="F14" s="218">
        <v>0</v>
      </c>
      <c r="G14" s="219">
        <v>0</v>
      </c>
      <c r="H14" s="219">
        <v>0</v>
      </c>
      <c r="I14" s="219">
        <v>500</v>
      </c>
      <c r="J14" s="220">
        <f t="shared" ref="J14:O14" si="1">IF($D$3="Base",J15,IF($D$3="Bull",J16,J17))</f>
        <v>6000</v>
      </c>
      <c r="K14" s="221">
        <f t="shared" si="1"/>
        <v>16000</v>
      </c>
      <c r="L14" s="221">
        <f t="shared" si="1"/>
        <v>18000</v>
      </c>
      <c r="M14" s="221">
        <f t="shared" si="1"/>
        <v>14000</v>
      </c>
      <c r="N14" s="221">
        <f t="shared" si="1"/>
        <v>12000</v>
      </c>
      <c r="O14" s="221">
        <f t="shared" si="1"/>
        <v>10000</v>
      </c>
    </row>
    <row r="15" spans="2:15" x14ac:dyDescent="0.3">
      <c r="B15" s="194" t="s">
        <v>222</v>
      </c>
      <c r="J15" s="222">
        <v>10000</v>
      </c>
      <c r="K15" s="223">
        <v>26000</v>
      </c>
      <c r="L15" s="223">
        <v>28000</v>
      </c>
      <c r="M15" s="223">
        <v>22000</v>
      </c>
      <c r="N15" s="223">
        <v>18000</v>
      </c>
      <c r="O15" s="223">
        <v>15000</v>
      </c>
    </row>
    <row r="16" spans="2:15" x14ac:dyDescent="0.3">
      <c r="B16" s="194" t="s">
        <v>223</v>
      </c>
      <c r="J16" s="222">
        <v>14000</v>
      </c>
      <c r="K16" s="223">
        <v>36000</v>
      </c>
      <c r="L16" s="223">
        <v>40000</v>
      </c>
      <c r="M16" s="223">
        <v>30000</v>
      </c>
      <c r="N16" s="223">
        <v>24000</v>
      </c>
      <c r="O16" s="223">
        <v>20000</v>
      </c>
    </row>
    <row r="17" spans="2:15" x14ac:dyDescent="0.3">
      <c r="B17" s="194" t="s">
        <v>224</v>
      </c>
      <c r="J17" s="222">
        <v>6000</v>
      </c>
      <c r="K17" s="223">
        <v>16000</v>
      </c>
      <c r="L17" s="223">
        <v>18000</v>
      </c>
      <c r="M17" s="223">
        <v>14000</v>
      </c>
      <c r="N17" s="223">
        <v>12000</v>
      </c>
      <c r="O17" s="223">
        <v>10000</v>
      </c>
    </row>
    <row r="18" spans="2:15" x14ac:dyDescent="0.3">
      <c r="J18" s="206"/>
    </row>
    <row r="19" spans="2:15" x14ac:dyDescent="0.3">
      <c r="B19" s="195" t="s">
        <v>226</v>
      </c>
      <c r="C19" s="218">
        <v>0</v>
      </c>
      <c r="D19" s="218">
        <v>0</v>
      </c>
      <c r="E19" s="218">
        <v>0</v>
      </c>
      <c r="F19" s="218">
        <v>0</v>
      </c>
      <c r="G19" s="219">
        <v>0</v>
      </c>
      <c r="H19" s="219">
        <v>1000</v>
      </c>
      <c r="I19" s="219">
        <v>3000</v>
      </c>
      <c r="J19" s="220">
        <f t="shared" ref="J19:O19" si="2">IF($D$3="Base",J20,IF($D$3="Bull",J21,J22))</f>
        <v>4000</v>
      </c>
      <c r="K19" s="221">
        <f t="shared" si="2"/>
        <v>8000</v>
      </c>
      <c r="L19" s="221">
        <f t="shared" si="2"/>
        <v>10000</v>
      </c>
      <c r="M19" s="221">
        <f t="shared" si="2"/>
        <v>12000</v>
      </c>
      <c r="N19" s="221">
        <f t="shared" si="2"/>
        <v>13000</v>
      </c>
      <c r="O19" s="221">
        <f t="shared" si="2"/>
        <v>13000</v>
      </c>
    </row>
    <row r="20" spans="2:15" x14ac:dyDescent="0.3">
      <c r="B20" s="194" t="s">
        <v>222</v>
      </c>
      <c r="J20" s="222">
        <v>6000</v>
      </c>
      <c r="K20" s="223">
        <v>13000</v>
      </c>
      <c r="L20" s="223">
        <v>16000</v>
      </c>
      <c r="M20" s="223">
        <v>18000</v>
      </c>
      <c r="N20" s="223">
        <v>20000</v>
      </c>
      <c r="O20" s="223">
        <v>21000</v>
      </c>
    </row>
    <row r="21" spans="2:15" x14ac:dyDescent="0.3">
      <c r="B21" s="194" t="s">
        <v>223</v>
      </c>
      <c r="J21" s="222">
        <v>8500</v>
      </c>
      <c r="K21" s="223">
        <v>19000</v>
      </c>
      <c r="L21" s="223">
        <v>24000</v>
      </c>
      <c r="M21" s="223">
        <v>28000</v>
      </c>
      <c r="N21" s="223">
        <v>30000</v>
      </c>
      <c r="O21" s="223">
        <v>30000</v>
      </c>
    </row>
    <row r="22" spans="2:15" x14ac:dyDescent="0.3">
      <c r="B22" s="194" t="s">
        <v>224</v>
      </c>
      <c r="J22" s="222">
        <v>4000</v>
      </c>
      <c r="K22" s="223">
        <v>8000</v>
      </c>
      <c r="L22" s="223">
        <v>10000</v>
      </c>
      <c r="M22" s="223">
        <v>12000</v>
      </c>
      <c r="N22" s="223">
        <v>13000</v>
      </c>
      <c r="O22" s="223">
        <v>13000</v>
      </c>
    </row>
    <row r="23" spans="2:15" x14ac:dyDescent="0.3">
      <c r="J23" s="206"/>
    </row>
    <row r="24" spans="2:15" x14ac:dyDescent="0.3">
      <c r="B24" s="195" t="s">
        <v>227</v>
      </c>
      <c r="C24" s="218">
        <v>0</v>
      </c>
      <c r="D24" s="218">
        <v>0</v>
      </c>
      <c r="E24" s="218">
        <v>0</v>
      </c>
      <c r="F24" s="218">
        <v>0</v>
      </c>
      <c r="G24" s="219">
        <v>0</v>
      </c>
      <c r="H24" s="219">
        <v>0</v>
      </c>
      <c r="I24" s="219">
        <v>0</v>
      </c>
      <c r="J24" s="220">
        <f t="shared" ref="J24:O24" si="3">IF($D$3="Base",J25,IF($D$3="Bull",J26,J27))</f>
        <v>200</v>
      </c>
      <c r="K24" s="221">
        <f t="shared" si="3"/>
        <v>3000</v>
      </c>
      <c r="L24" s="221">
        <f t="shared" si="3"/>
        <v>8000</v>
      </c>
      <c r="M24" s="221">
        <f t="shared" si="3"/>
        <v>12000</v>
      </c>
      <c r="N24" s="221">
        <f t="shared" si="3"/>
        <v>14000</v>
      </c>
      <c r="O24" s="221">
        <f t="shared" si="3"/>
        <v>15000</v>
      </c>
    </row>
    <row r="25" spans="2:15" x14ac:dyDescent="0.3">
      <c r="B25" s="194" t="s">
        <v>222</v>
      </c>
      <c r="J25" s="222">
        <v>500</v>
      </c>
      <c r="K25" s="223">
        <v>6000</v>
      </c>
      <c r="L25" s="223">
        <v>14000</v>
      </c>
      <c r="M25" s="223">
        <v>20000</v>
      </c>
      <c r="N25" s="223">
        <v>24000</v>
      </c>
      <c r="O25" s="223">
        <v>26000</v>
      </c>
    </row>
    <row r="26" spans="2:15" x14ac:dyDescent="0.3">
      <c r="B26" s="194" t="s">
        <v>223</v>
      </c>
      <c r="J26" s="222">
        <v>1000</v>
      </c>
      <c r="K26" s="223">
        <v>12000</v>
      </c>
      <c r="L26" s="223">
        <v>22000</v>
      </c>
      <c r="M26" s="223">
        <v>28000</v>
      </c>
      <c r="N26" s="223">
        <v>32000</v>
      </c>
      <c r="O26" s="223">
        <v>34000</v>
      </c>
    </row>
    <row r="27" spans="2:15" x14ac:dyDescent="0.3">
      <c r="B27" s="194" t="s">
        <v>224</v>
      </c>
      <c r="J27" s="222">
        <v>200</v>
      </c>
      <c r="K27" s="223">
        <v>3000</v>
      </c>
      <c r="L27" s="223">
        <v>8000</v>
      </c>
      <c r="M27" s="223">
        <v>12000</v>
      </c>
      <c r="N27" s="223">
        <v>14000</v>
      </c>
      <c r="O27" s="223">
        <v>15000</v>
      </c>
    </row>
    <row r="28" spans="2:15" x14ac:dyDescent="0.3">
      <c r="J28" s="206"/>
    </row>
    <row r="29" spans="2:15" x14ac:dyDescent="0.3">
      <c r="B29" s="195" t="s">
        <v>228</v>
      </c>
      <c r="C29" s="218">
        <v>0</v>
      </c>
      <c r="D29" s="218">
        <v>0</v>
      </c>
      <c r="E29" s="218">
        <v>0</v>
      </c>
      <c r="F29" s="218">
        <v>0</v>
      </c>
      <c r="G29" s="219">
        <v>0</v>
      </c>
      <c r="H29" s="219">
        <v>200</v>
      </c>
      <c r="I29" s="219">
        <v>500</v>
      </c>
      <c r="J29" s="220">
        <f t="shared" ref="J29:O29" si="4">IF($D$3="Base",J30,IF($D$3="Bull",J31,J32))</f>
        <v>800</v>
      </c>
      <c r="K29" s="221">
        <f t="shared" si="4"/>
        <v>1500</v>
      </c>
      <c r="L29" s="221">
        <f t="shared" si="4"/>
        <v>3000</v>
      </c>
      <c r="M29" s="221">
        <f t="shared" si="4"/>
        <v>4000</v>
      </c>
      <c r="N29" s="221">
        <f t="shared" si="4"/>
        <v>4500</v>
      </c>
      <c r="O29" s="221">
        <f t="shared" si="4"/>
        <v>4500</v>
      </c>
    </row>
    <row r="30" spans="2:15" x14ac:dyDescent="0.3">
      <c r="B30" s="194" t="s">
        <v>222</v>
      </c>
      <c r="J30" s="222">
        <v>1500</v>
      </c>
      <c r="K30" s="223">
        <v>3000</v>
      </c>
      <c r="L30" s="223">
        <v>5000</v>
      </c>
      <c r="M30" s="223">
        <v>6000</v>
      </c>
      <c r="N30" s="223">
        <v>6500</v>
      </c>
      <c r="O30" s="223">
        <v>6500</v>
      </c>
    </row>
    <row r="31" spans="2:15" x14ac:dyDescent="0.3">
      <c r="B31" s="194" t="s">
        <v>223</v>
      </c>
      <c r="J31" s="222">
        <v>2200</v>
      </c>
      <c r="K31" s="223">
        <v>4500</v>
      </c>
      <c r="L31" s="223">
        <v>7000</v>
      </c>
      <c r="M31" s="223">
        <v>8500</v>
      </c>
      <c r="N31" s="223">
        <v>9000</v>
      </c>
      <c r="O31" s="223">
        <v>9000</v>
      </c>
    </row>
    <row r="32" spans="2:15" x14ac:dyDescent="0.3">
      <c r="B32" s="194" t="s">
        <v>224</v>
      </c>
      <c r="J32" s="222">
        <v>800</v>
      </c>
      <c r="K32" s="223">
        <v>1500</v>
      </c>
      <c r="L32" s="223">
        <v>3000</v>
      </c>
      <c r="M32" s="223">
        <v>4000</v>
      </c>
      <c r="N32" s="223">
        <v>4500</v>
      </c>
      <c r="O32" s="223">
        <v>4500</v>
      </c>
    </row>
    <row r="33" spans="2:15" x14ac:dyDescent="0.3">
      <c r="J33" s="206"/>
    </row>
    <row r="34" spans="2:15" x14ac:dyDescent="0.3">
      <c r="B34" s="195" t="s">
        <v>229</v>
      </c>
      <c r="C34" s="218">
        <v>0</v>
      </c>
      <c r="D34" s="218">
        <v>0</v>
      </c>
      <c r="E34" s="218">
        <v>0</v>
      </c>
      <c r="F34" s="218">
        <v>0</v>
      </c>
      <c r="G34" s="219">
        <v>0</v>
      </c>
      <c r="H34" s="219">
        <v>0</v>
      </c>
      <c r="I34" s="219">
        <v>0</v>
      </c>
      <c r="J34" s="220">
        <f t="shared" ref="J34:O34" si="5">IF($D$3="Base",J35,IF($D$3="Bull",J36,J37))</f>
        <v>400</v>
      </c>
      <c r="K34" s="221">
        <f t="shared" si="5"/>
        <v>1500</v>
      </c>
      <c r="L34" s="221">
        <f t="shared" si="5"/>
        <v>3000</v>
      </c>
      <c r="M34" s="221">
        <f t="shared" si="5"/>
        <v>4500</v>
      </c>
      <c r="N34" s="221">
        <f t="shared" si="5"/>
        <v>5500</v>
      </c>
      <c r="O34" s="221">
        <f t="shared" si="5"/>
        <v>6000</v>
      </c>
    </row>
    <row r="35" spans="2:15" x14ac:dyDescent="0.3">
      <c r="B35" s="194" t="s">
        <v>222</v>
      </c>
      <c r="J35" s="222">
        <v>800</v>
      </c>
      <c r="K35" s="223">
        <v>3000</v>
      </c>
      <c r="L35" s="223">
        <v>5000</v>
      </c>
      <c r="M35" s="223">
        <v>7000</v>
      </c>
      <c r="N35" s="223">
        <v>8000</v>
      </c>
      <c r="O35" s="223">
        <v>8500</v>
      </c>
    </row>
    <row r="36" spans="2:15" x14ac:dyDescent="0.3">
      <c r="B36" s="194" t="s">
        <v>223</v>
      </c>
      <c r="J36" s="222">
        <v>1200</v>
      </c>
      <c r="K36" s="223">
        <v>5000</v>
      </c>
      <c r="L36" s="223">
        <v>8000</v>
      </c>
      <c r="M36" s="223">
        <v>10000</v>
      </c>
      <c r="N36" s="223">
        <v>11000</v>
      </c>
      <c r="O36" s="223">
        <v>11000</v>
      </c>
    </row>
    <row r="37" spans="2:15" x14ac:dyDescent="0.3">
      <c r="B37" s="194" t="s">
        <v>224</v>
      </c>
      <c r="J37" s="222">
        <v>400</v>
      </c>
      <c r="K37" s="223">
        <v>1500</v>
      </c>
      <c r="L37" s="223">
        <v>3000</v>
      </c>
      <c r="M37" s="223">
        <v>4500</v>
      </c>
      <c r="N37" s="223">
        <v>5500</v>
      </c>
      <c r="O37" s="223">
        <v>6000</v>
      </c>
    </row>
    <row r="38" spans="2:15" x14ac:dyDescent="0.3">
      <c r="J38" s="206"/>
    </row>
    <row r="39" spans="2:15" x14ac:dyDescent="0.3">
      <c r="B39" s="195" t="s">
        <v>230</v>
      </c>
      <c r="C39" s="218">
        <v>0</v>
      </c>
      <c r="D39" s="218">
        <v>0</v>
      </c>
      <c r="E39" s="218">
        <v>0</v>
      </c>
      <c r="F39" s="218">
        <v>0</v>
      </c>
      <c r="G39" s="219">
        <v>700</v>
      </c>
      <c r="H39" s="219">
        <v>2500</v>
      </c>
      <c r="I39" s="219">
        <v>2279</v>
      </c>
      <c r="J39" s="220">
        <f t="shared" ref="J39:O39" si="6">IF($D$3="Base",J40,IF($D$3="Bull",J41,J42))</f>
        <v>1000</v>
      </c>
      <c r="K39" s="221">
        <f t="shared" si="6"/>
        <v>3000</v>
      </c>
      <c r="L39" s="221">
        <f t="shared" si="6"/>
        <v>4500</v>
      </c>
      <c r="M39" s="221">
        <f t="shared" si="6"/>
        <v>6000</v>
      </c>
      <c r="N39" s="221">
        <f t="shared" si="6"/>
        <v>7000</v>
      </c>
      <c r="O39" s="221">
        <f t="shared" si="6"/>
        <v>7500</v>
      </c>
    </row>
    <row r="40" spans="2:15" x14ac:dyDescent="0.3">
      <c r="B40" s="194" t="s">
        <v>222</v>
      </c>
      <c r="J40" s="222">
        <v>2000</v>
      </c>
      <c r="K40" s="223">
        <v>5000</v>
      </c>
      <c r="L40" s="223">
        <v>7000</v>
      </c>
      <c r="M40" s="223">
        <v>9000</v>
      </c>
      <c r="N40" s="223">
        <v>11000</v>
      </c>
      <c r="O40" s="223">
        <v>12000</v>
      </c>
    </row>
    <row r="41" spans="2:15" x14ac:dyDescent="0.3">
      <c r="B41" s="194" t="s">
        <v>223</v>
      </c>
      <c r="J41" s="222">
        <v>3100</v>
      </c>
      <c r="K41" s="223">
        <v>8000</v>
      </c>
      <c r="L41" s="223">
        <v>11000</v>
      </c>
      <c r="M41" s="223">
        <v>13000</v>
      </c>
      <c r="N41" s="223">
        <v>15000</v>
      </c>
      <c r="O41" s="223">
        <v>16000</v>
      </c>
    </row>
    <row r="42" spans="2:15" x14ac:dyDescent="0.3">
      <c r="B42" s="194" t="s">
        <v>224</v>
      </c>
      <c r="J42" s="222">
        <v>1000</v>
      </c>
      <c r="K42" s="223">
        <v>3000</v>
      </c>
      <c r="L42" s="223">
        <v>4500</v>
      </c>
      <c r="M42" s="223">
        <v>6000</v>
      </c>
      <c r="N42" s="223">
        <v>7000</v>
      </c>
      <c r="O42" s="223">
        <v>7500</v>
      </c>
    </row>
    <row r="43" spans="2:15" x14ac:dyDescent="0.3">
      <c r="J43" s="206"/>
    </row>
    <row r="44" spans="2:15" x14ac:dyDescent="0.3">
      <c r="B44" s="200" t="s">
        <v>231</v>
      </c>
      <c r="C44" s="224">
        <v>0</v>
      </c>
      <c r="D44" s="224">
        <v>0</v>
      </c>
      <c r="E44" s="224">
        <v>0</v>
      </c>
      <c r="F44" s="224">
        <v>0</v>
      </c>
      <c r="G44" s="225">
        <f t="shared" ref="G44:O44" si="7">G9+G14+G19+G24+G29+G34+G39</f>
        <v>4200</v>
      </c>
      <c r="H44" s="225">
        <f t="shared" si="7"/>
        <v>12200</v>
      </c>
      <c r="I44" s="225">
        <f t="shared" si="7"/>
        <v>20779</v>
      </c>
      <c r="J44" s="226">
        <f t="shared" si="7"/>
        <v>34400</v>
      </c>
      <c r="K44" s="227">
        <f t="shared" si="7"/>
        <v>69000</v>
      </c>
      <c r="L44" s="227">
        <f t="shared" si="7"/>
        <v>88500</v>
      </c>
      <c r="M44" s="227">
        <f t="shared" si="7"/>
        <v>96500</v>
      </c>
      <c r="N44" s="227">
        <f t="shared" si="7"/>
        <v>101000</v>
      </c>
      <c r="O44" s="227">
        <f t="shared" si="7"/>
        <v>101000</v>
      </c>
    </row>
    <row r="45" spans="2:15" x14ac:dyDescent="0.3">
      <c r="J45" s="206"/>
    </row>
    <row r="46" spans="2:15" x14ac:dyDescent="0.3">
      <c r="B46" s="195" t="s">
        <v>232</v>
      </c>
      <c r="G46" s="228">
        <v>0.25</v>
      </c>
      <c r="H46" s="228">
        <v>0.28000000000000003</v>
      </c>
      <c r="I46" s="228">
        <v>0.3</v>
      </c>
      <c r="J46" s="229">
        <f t="shared" ref="J46:O46" si="8">IF($D$3="Base",J47,IF($D$3="Bull",J48,J49))</f>
        <v>0.32</v>
      </c>
      <c r="K46" s="230">
        <f t="shared" si="8"/>
        <v>0.34</v>
      </c>
      <c r="L46" s="230">
        <f t="shared" si="8"/>
        <v>0.35</v>
      </c>
      <c r="M46" s="230">
        <f t="shared" si="8"/>
        <v>0.35</v>
      </c>
      <c r="N46" s="230">
        <f t="shared" si="8"/>
        <v>0.35</v>
      </c>
      <c r="O46" s="230">
        <f t="shared" si="8"/>
        <v>0.35</v>
      </c>
    </row>
    <row r="47" spans="2:15" x14ac:dyDescent="0.3">
      <c r="B47" s="194" t="s">
        <v>222</v>
      </c>
      <c r="J47" s="231">
        <v>0.35</v>
      </c>
      <c r="K47" s="232">
        <v>0.37</v>
      </c>
      <c r="L47" s="232">
        <v>0.38</v>
      </c>
      <c r="M47" s="232">
        <v>0.38</v>
      </c>
      <c r="N47" s="232">
        <v>0.38</v>
      </c>
      <c r="O47" s="232">
        <v>0.38</v>
      </c>
    </row>
    <row r="48" spans="2:15" x14ac:dyDescent="0.3">
      <c r="B48" s="194" t="s">
        <v>223</v>
      </c>
      <c r="J48" s="231">
        <v>0.37</v>
      </c>
      <c r="K48" s="232">
        <v>0.39</v>
      </c>
      <c r="L48" s="232">
        <v>0.4</v>
      </c>
      <c r="M48" s="232">
        <v>0.4</v>
      </c>
      <c r="N48" s="232">
        <v>0.4</v>
      </c>
      <c r="O48" s="232">
        <v>0.4</v>
      </c>
    </row>
    <row r="49" spans="2:15" x14ac:dyDescent="0.3">
      <c r="B49" s="194" t="s">
        <v>224</v>
      </c>
      <c r="J49" s="231">
        <v>0.32</v>
      </c>
      <c r="K49" s="232">
        <v>0.34</v>
      </c>
      <c r="L49" s="232">
        <v>0.35</v>
      </c>
      <c r="M49" s="232">
        <v>0.35</v>
      </c>
      <c r="N49" s="232">
        <v>0.35</v>
      </c>
      <c r="O49" s="232">
        <v>0.35</v>
      </c>
    </row>
    <row r="50" spans="2:15" x14ac:dyDescent="0.3">
      <c r="B50" s="194" t="s">
        <v>233</v>
      </c>
      <c r="C50" s="218">
        <v>0</v>
      </c>
      <c r="D50" s="218">
        <v>0</v>
      </c>
      <c r="E50" s="218">
        <v>0</v>
      </c>
      <c r="F50" s="218">
        <v>0</v>
      </c>
      <c r="G50" s="233">
        <f t="shared" ref="G50:O50" si="9">G52*G46</f>
        <v>1050</v>
      </c>
      <c r="H50" s="233">
        <f t="shared" si="9"/>
        <v>3416.0000000000005</v>
      </c>
      <c r="I50" s="233">
        <f t="shared" si="9"/>
        <v>6233.7</v>
      </c>
      <c r="J50" s="234">
        <f t="shared" si="9"/>
        <v>11008</v>
      </c>
      <c r="K50" s="218">
        <f t="shared" si="9"/>
        <v>23460</v>
      </c>
      <c r="L50" s="218">
        <f t="shared" si="9"/>
        <v>30974.999999999996</v>
      </c>
      <c r="M50" s="218">
        <f t="shared" si="9"/>
        <v>33775</v>
      </c>
      <c r="N50" s="218">
        <f t="shared" si="9"/>
        <v>35350</v>
      </c>
      <c r="O50" s="218">
        <f t="shared" si="9"/>
        <v>35350</v>
      </c>
    </row>
    <row r="51" spans="2:15" x14ac:dyDescent="0.3">
      <c r="J51" s="206"/>
    </row>
    <row r="52" spans="2:15" x14ac:dyDescent="0.3">
      <c r="B52" s="201" t="s">
        <v>234</v>
      </c>
      <c r="C52" s="235">
        <v>0</v>
      </c>
      <c r="D52" s="235">
        <v>0</v>
      </c>
      <c r="E52" s="235">
        <v>0</v>
      </c>
      <c r="F52" s="235">
        <v>0</v>
      </c>
      <c r="G52" s="236">
        <f t="shared" ref="G52:O52" si="10">G44</f>
        <v>4200</v>
      </c>
      <c r="H52" s="236">
        <f t="shared" si="10"/>
        <v>12200</v>
      </c>
      <c r="I52" s="236">
        <f t="shared" si="10"/>
        <v>20779</v>
      </c>
      <c r="J52" s="237">
        <f t="shared" si="10"/>
        <v>34400</v>
      </c>
      <c r="K52" s="238">
        <f t="shared" si="10"/>
        <v>69000</v>
      </c>
      <c r="L52" s="238">
        <f t="shared" si="10"/>
        <v>88500</v>
      </c>
      <c r="M52" s="238">
        <f t="shared" si="10"/>
        <v>96500</v>
      </c>
      <c r="N52" s="238">
        <f t="shared" si="10"/>
        <v>101000</v>
      </c>
      <c r="O52" s="238">
        <f t="shared" si="10"/>
        <v>101000</v>
      </c>
    </row>
    <row r="53" spans="2:15" x14ac:dyDescent="0.3">
      <c r="B53" s="194" t="s">
        <v>235</v>
      </c>
      <c r="H53" s="230">
        <f t="shared" ref="H53:O53" si="11">IF(G52=0,"n/a",H52/G52-1)</f>
        <v>1.9047619047619047</v>
      </c>
      <c r="I53" s="230">
        <f t="shared" si="11"/>
        <v>0.70319672131147537</v>
      </c>
      <c r="J53" s="229">
        <f t="shared" si="11"/>
        <v>0.65551758987439235</v>
      </c>
      <c r="K53" s="230">
        <f t="shared" si="11"/>
        <v>1.0058139534883721</v>
      </c>
      <c r="L53" s="230">
        <f t="shared" si="11"/>
        <v>0.28260869565217384</v>
      </c>
      <c r="M53" s="230">
        <f t="shared" si="11"/>
        <v>9.0395480225988756E-2</v>
      </c>
      <c r="N53" s="230">
        <f t="shared" si="11"/>
        <v>4.663212435233155E-2</v>
      </c>
      <c r="O53" s="230">
        <f t="shared" si="11"/>
        <v>0</v>
      </c>
    </row>
    <row r="54" spans="2:15" x14ac:dyDescent="0.3">
      <c r="J54" s="206"/>
    </row>
    <row r="55" spans="2:15" x14ac:dyDescent="0.3">
      <c r="B55" s="195" t="s">
        <v>236</v>
      </c>
      <c r="J55" s="206"/>
    </row>
    <row r="56" spans="2:15" x14ac:dyDescent="0.3">
      <c r="J56" s="206"/>
    </row>
    <row r="57" spans="2:15" x14ac:dyDescent="0.3">
      <c r="B57" s="195" t="s">
        <v>237</v>
      </c>
      <c r="C57" s="218">
        <v>0</v>
      </c>
      <c r="D57" s="218">
        <v>0</v>
      </c>
      <c r="E57" s="218">
        <v>0</v>
      </c>
      <c r="F57" s="218">
        <v>0</v>
      </c>
      <c r="G57" s="219">
        <v>7457</v>
      </c>
      <c r="H57" s="219">
        <v>7292</v>
      </c>
      <c r="I57" s="219">
        <v>7292</v>
      </c>
      <c r="J57" s="220">
        <f t="shared" ref="J57:O57" si="12">I57*(1+J58)</f>
        <v>6927.4</v>
      </c>
      <c r="K57" s="221">
        <f t="shared" si="12"/>
        <v>6373.2079999999996</v>
      </c>
      <c r="L57" s="221">
        <f t="shared" si="12"/>
        <v>6054.547599999999</v>
      </c>
      <c r="M57" s="221">
        <f t="shared" si="12"/>
        <v>5872.9111719999992</v>
      </c>
      <c r="N57" s="221">
        <f t="shared" si="12"/>
        <v>5755.4529485599987</v>
      </c>
      <c r="O57" s="221">
        <f t="shared" si="12"/>
        <v>5697.8984190743986</v>
      </c>
    </row>
    <row r="58" spans="2:15" x14ac:dyDescent="0.3">
      <c r="B58" s="194" t="s">
        <v>238</v>
      </c>
      <c r="D58" s="230"/>
      <c r="E58" s="230"/>
      <c r="F58" s="230"/>
      <c r="G58" s="230"/>
      <c r="H58" s="230">
        <f>H57/G57-1</f>
        <v>-2.2126860667828874E-2</v>
      </c>
      <c r="I58" s="230">
        <f>I57/H57-1</f>
        <v>0</v>
      </c>
      <c r="J58" s="229">
        <f t="shared" ref="J58:O58" si="13">IF($D$3="Base",J59,IF($D$3="Bull",J60,J61))</f>
        <v>-0.05</v>
      </c>
      <c r="K58" s="230">
        <f t="shared" si="13"/>
        <v>-0.08</v>
      </c>
      <c r="L58" s="230">
        <f t="shared" si="13"/>
        <v>-0.05</v>
      </c>
      <c r="M58" s="230">
        <f t="shared" si="13"/>
        <v>-0.03</v>
      </c>
      <c r="N58" s="230">
        <f t="shared" si="13"/>
        <v>-0.02</v>
      </c>
      <c r="O58" s="230">
        <f t="shared" si="13"/>
        <v>-0.01</v>
      </c>
    </row>
    <row r="59" spans="2:15" x14ac:dyDescent="0.3">
      <c r="B59" s="194" t="s">
        <v>222</v>
      </c>
      <c r="J59" s="231">
        <v>-0.02</v>
      </c>
      <c r="K59" s="232">
        <v>-0.04</v>
      </c>
      <c r="L59" s="232">
        <v>-0.03</v>
      </c>
      <c r="M59" s="232">
        <v>-0.02</v>
      </c>
      <c r="N59" s="232">
        <v>-0.01</v>
      </c>
      <c r="O59" s="232">
        <v>0</v>
      </c>
    </row>
    <row r="60" spans="2:15" x14ac:dyDescent="0.3">
      <c r="B60" s="194" t="s">
        <v>223</v>
      </c>
      <c r="J60" s="231">
        <v>0</v>
      </c>
      <c r="K60" s="232">
        <v>0</v>
      </c>
      <c r="L60" s="232">
        <v>0</v>
      </c>
      <c r="M60" s="232">
        <v>0</v>
      </c>
      <c r="N60" s="232">
        <v>0</v>
      </c>
      <c r="O60" s="232">
        <v>0</v>
      </c>
    </row>
    <row r="61" spans="2:15" x14ac:dyDescent="0.3">
      <c r="B61" s="194" t="s">
        <v>224</v>
      </c>
      <c r="J61" s="231">
        <v>-0.05</v>
      </c>
      <c r="K61" s="232">
        <v>-0.08</v>
      </c>
      <c r="L61" s="232">
        <v>-0.05</v>
      </c>
      <c r="M61" s="232">
        <v>-0.03</v>
      </c>
      <c r="N61" s="232">
        <v>-0.02</v>
      </c>
      <c r="O61" s="232">
        <v>-0.01</v>
      </c>
    </row>
    <row r="62" spans="2:15" x14ac:dyDescent="0.3">
      <c r="B62" s="195" t="s">
        <v>239</v>
      </c>
      <c r="C62" s="218">
        <v>0</v>
      </c>
      <c r="D62" s="218">
        <v>0</v>
      </c>
      <c r="E62" s="218">
        <v>0</v>
      </c>
      <c r="F62" s="218">
        <v>0</v>
      </c>
      <c r="G62" s="219">
        <v>2692</v>
      </c>
      <c r="H62" s="219">
        <v>2615</v>
      </c>
      <c r="I62" s="219">
        <v>2615</v>
      </c>
      <c r="J62" s="220">
        <f t="shared" ref="J62:O62" si="14">I62*(1+J63)</f>
        <v>2719.6</v>
      </c>
      <c r="K62" s="221">
        <f t="shared" si="14"/>
        <v>2855.58</v>
      </c>
      <c r="L62" s="221">
        <f t="shared" si="14"/>
        <v>2969.8031999999998</v>
      </c>
      <c r="M62" s="221">
        <f t="shared" si="14"/>
        <v>3058.8972960000001</v>
      </c>
      <c r="N62" s="221">
        <f t="shared" si="14"/>
        <v>3120.0752419200003</v>
      </c>
      <c r="O62" s="221">
        <f t="shared" si="14"/>
        <v>3182.4767467584002</v>
      </c>
    </row>
    <row r="63" spans="2:15" x14ac:dyDescent="0.3">
      <c r="B63" s="194" t="s">
        <v>238</v>
      </c>
      <c r="D63" s="230"/>
      <c r="E63" s="230"/>
      <c r="F63" s="230"/>
      <c r="G63" s="230"/>
      <c r="H63" s="230">
        <f>H62/G62-1</f>
        <v>-2.8603268945022298E-2</v>
      </c>
      <c r="I63" s="230">
        <f>I62/H62-1</f>
        <v>0</v>
      </c>
      <c r="J63" s="229">
        <f t="shared" ref="J63:O63" si="15">IF($D$3="Base",J64,IF($D$3="Bull",J65,J66))</f>
        <v>0.04</v>
      </c>
      <c r="K63" s="230">
        <f t="shared" si="15"/>
        <v>0.05</v>
      </c>
      <c r="L63" s="230">
        <f t="shared" si="15"/>
        <v>0.04</v>
      </c>
      <c r="M63" s="230">
        <f t="shared" si="15"/>
        <v>0.03</v>
      </c>
      <c r="N63" s="230">
        <f t="shared" si="15"/>
        <v>0.02</v>
      </c>
      <c r="O63" s="230">
        <f t="shared" si="15"/>
        <v>0.02</v>
      </c>
    </row>
    <row r="64" spans="2:15" x14ac:dyDescent="0.3">
      <c r="B64" s="194" t="s">
        <v>222</v>
      </c>
      <c r="J64" s="231">
        <v>0.08</v>
      </c>
      <c r="K64" s="232">
        <v>0.1</v>
      </c>
      <c r="L64" s="232">
        <v>0.08</v>
      </c>
      <c r="M64" s="232">
        <v>0.06</v>
      </c>
      <c r="N64" s="232">
        <v>0.05</v>
      </c>
      <c r="O64" s="232">
        <v>0.04</v>
      </c>
    </row>
    <row r="65" spans="2:15" x14ac:dyDescent="0.3">
      <c r="B65" s="194" t="s">
        <v>223</v>
      </c>
      <c r="J65" s="231">
        <v>0.12</v>
      </c>
      <c r="K65" s="232">
        <v>0.14000000000000001</v>
      </c>
      <c r="L65" s="232">
        <v>0.1</v>
      </c>
      <c r="M65" s="232">
        <v>0.08</v>
      </c>
      <c r="N65" s="232">
        <v>0.06</v>
      </c>
      <c r="O65" s="232">
        <v>0.05</v>
      </c>
    </row>
    <row r="66" spans="2:15" x14ac:dyDescent="0.3">
      <c r="B66" s="194" t="s">
        <v>224</v>
      </c>
      <c r="J66" s="231">
        <v>0.04</v>
      </c>
      <c r="K66" s="232">
        <v>0.05</v>
      </c>
      <c r="L66" s="232">
        <v>0.04</v>
      </c>
      <c r="M66" s="232">
        <v>0.03</v>
      </c>
      <c r="N66" s="232">
        <v>0.02</v>
      </c>
      <c r="O66" s="232">
        <v>0.02</v>
      </c>
    </row>
    <row r="67" spans="2:15" x14ac:dyDescent="0.3">
      <c r="B67" s="195" t="s">
        <v>240</v>
      </c>
      <c r="C67" s="218">
        <v>0</v>
      </c>
      <c r="D67" s="218">
        <v>0</v>
      </c>
      <c r="E67" s="218">
        <v>0</v>
      </c>
      <c r="F67" s="218">
        <v>0</v>
      </c>
      <c r="G67" s="219">
        <v>3564</v>
      </c>
      <c r="H67" s="219">
        <v>3771</v>
      </c>
      <c r="I67" s="219">
        <v>3771</v>
      </c>
      <c r="J67" s="220">
        <f t="shared" ref="J67:O67" si="16">I67*(1+J68)</f>
        <v>3771</v>
      </c>
      <c r="K67" s="221">
        <f t="shared" si="16"/>
        <v>3846.42</v>
      </c>
      <c r="L67" s="221">
        <f t="shared" si="16"/>
        <v>3884.8842</v>
      </c>
      <c r="M67" s="221">
        <f t="shared" si="16"/>
        <v>3923.7330419999998</v>
      </c>
      <c r="N67" s="221">
        <f t="shared" si="16"/>
        <v>3962.9703724199999</v>
      </c>
      <c r="O67" s="221">
        <f t="shared" si="16"/>
        <v>4002.6000761442001</v>
      </c>
    </row>
    <row r="68" spans="2:15" x14ac:dyDescent="0.3">
      <c r="B68" s="194" t="s">
        <v>238</v>
      </c>
      <c r="D68" s="230"/>
      <c r="E68" s="230"/>
      <c r="F68" s="230"/>
      <c r="G68" s="230"/>
      <c r="H68" s="230">
        <f>H67/G67-1</f>
        <v>5.8080808080808177E-2</v>
      </c>
      <c r="I68" s="230">
        <f>I67/H67-1</f>
        <v>0</v>
      </c>
      <c r="J68" s="229">
        <f t="shared" ref="J68:O68" si="17">IF($D$3="Base",J69,IF($D$3="Bull",J70,J71))</f>
        <v>0</v>
      </c>
      <c r="K68" s="230">
        <f t="shared" si="17"/>
        <v>0.02</v>
      </c>
      <c r="L68" s="230">
        <f t="shared" si="17"/>
        <v>0.01</v>
      </c>
      <c r="M68" s="230">
        <f t="shared" si="17"/>
        <v>0.01</v>
      </c>
      <c r="N68" s="230">
        <f t="shared" si="17"/>
        <v>0.01</v>
      </c>
      <c r="O68" s="230">
        <f t="shared" si="17"/>
        <v>0.01</v>
      </c>
    </row>
    <row r="69" spans="2:15" x14ac:dyDescent="0.3">
      <c r="B69" s="194" t="s">
        <v>222</v>
      </c>
      <c r="J69" s="231">
        <v>0.03</v>
      </c>
      <c r="K69" s="232">
        <v>0.04</v>
      </c>
      <c r="L69" s="232">
        <v>0.03</v>
      </c>
      <c r="M69" s="232">
        <v>0.03</v>
      </c>
      <c r="N69" s="232">
        <v>0.02</v>
      </c>
      <c r="O69" s="232">
        <v>0.02</v>
      </c>
    </row>
    <row r="70" spans="2:15" x14ac:dyDescent="0.3">
      <c r="B70" s="194" t="s">
        <v>223</v>
      </c>
      <c r="J70" s="231">
        <v>0.06</v>
      </c>
      <c r="K70" s="232">
        <v>7.0000000000000007E-2</v>
      </c>
      <c r="L70" s="232">
        <v>0.05</v>
      </c>
      <c r="M70" s="232">
        <v>0.04</v>
      </c>
      <c r="N70" s="232">
        <v>0.03</v>
      </c>
      <c r="O70" s="232">
        <v>0.03</v>
      </c>
    </row>
    <row r="71" spans="2:15" x14ac:dyDescent="0.3">
      <c r="B71" s="194" t="s">
        <v>224</v>
      </c>
      <c r="J71" s="231">
        <v>0</v>
      </c>
      <c r="K71" s="232">
        <v>0.02</v>
      </c>
      <c r="L71" s="232">
        <v>0.01</v>
      </c>
      <c r="M71" s="232">
        <v>0.01</v>
      </c>
      <c r="N71" s="232">
        <v>0.01</v>
      </c>
      <c r="O71" s="232">
        <v>0.01</v>
      </c>
    </row>
    <row r="72" spans="2:15" x14ac:dyDescent="0.3">
      <c r="B72" s="195" t="s">
        <v>241</v>
      </c>
      <c r="C72" s="218">
        <v>0</v>
      </c>
      <c r="D72" s="218">
        <v>0</v>
      </c>
      <c r="E72" s="218">
        <v>0</v>
      </c>
      <c r="F72" s="218">
        <v>0</v>
      </c>
      <c r="G72" s="219">
        <v>786</v>
      </c>
      <c r="H72" s="219">
        <v>625</v>
      </c>
      <c r="I72" s="219">
        <v>625</v>
      </c>
      <c r="J72" s="220">
        <f t="shared" ref="J72:O72" si="18">I72*(1+J73)</f>
        <v>625</v>
      </c>
      <c r="K72" s="221">
        <f t="shared" si="18"/>
        <v>631.25</v>
      </c>
      <c r="L72" s="221">
        <f t="shared" si="18"/>
        <v>637.5625</v>
      </c>
      <c r="M72" s="221">
        <f t="shared" si="18"/>
        <v>643.93812500000001</v>
      </c>
      <c r="N72" s="221">
        <f t="shared" si="18"/>
        <v>650.37750625000001</v>
      </c>
      <c r="O72" s="221">
        <f t="shared" si="18"/>
        <v>656.88128131250005</v>
      </c>
    </row>
    <row r="73" spans="2:15" x14ac:dyDescent="0.3">
      <c r="B73" s="194" t="s">
        <v>238</v>
      </c>
      <c r="D73" s="230"/>
      <c r="E73" s="230"/>
      <c r="F73" s="230"/>
      <c r="G73" s="230"/>
      <c r="H73" s="230">
        <f>H72/G72-1</f>
        <v>-0.2048346055979644</v>
      </c>
      <c r="I73" s="230">
        <f>I72/H72-1</f>
        <v>0</v>
      </c>
      <c r="J73" s="229">
        <f t="shared" ref="J73:O73" si="19">IF($D$3="Base",J74,IF($D$3="Bull",J75,J76))</f>
        <v>0</v>
      </c>
      <c r="K73" s="230">
        <f t="shared" si="19"/>
        <v>0.01</v>
      </c>
      <c r="L73" s="230">
        <f t="shared" si="19"/>
        <v>0.01</v>
      </c>
      <c r="M73" s="230">
        <f t="shared" si="19"/>
        <v>0.01</v>
      </c>
      <c r="N73" s="230">
        <f t="shared" si="19"/>
        <v>0.01</v>
      </c>
      <c r="O73" s="230">
        <f t="shared" si="19"/>
        <v>0.01</v>
      </c>
    </row>
    <row r="74" spans="2:15" x14ac:dyDescent="0.3">
      <c r="B74" s="194" t="s">
        <v>222</v>
      </c>
      <c r="J74" s="231">
        <v>0.02</v>
      </c>
      <c r="K74" s="232">
        <v>0.03</v>
      </c>
      <c r="L74" s="232">
        <v>0.03</v>
      </c>
      <c r="M74" s="232">
        <v>0.02</v>
      </c>
      <c r="N74" s="232">
        <v>0.02</v>
      </c>
      <c r="O74" s="232">
        <v>0.02</v>
      </c>
    </row>
    <row r="75" spans="2:15" x14ac:dyDescent="0.3">
      <c r="B75" s="194" t="s">
        <v>223</v>
      </c>
      <c r="J75" s="231">
        <v>0.05</v>
      </c>
      <c r="K75" s="232">
        <v>0.06</v>
      </c>
      <c r="L75" s="232">
        <v>0.05</v>
      </c>
      <c r="M75" s="232">
        <v>0.04</v>
      </c>
      <c r="N75" s="232">
        <v>0.03</v>
      </c>
      <c r="O75" s="232">
        <v>0.03</v>
      </c>
    </row>
    <row r="76" spans="2:15" x14ac:dyDescent="0.3">
      <c r="B76" s="194" t="s">
        <v>224</v>
      </c>
      <c r="J76" s="231">
        <v>0</v>
      </c>
      <c r="K76" s="232">
        <v>0.01</v>
      </c>
      <c r="L76" s="232">
        <v>0.01</v>
      </c>
      <c r="M76" s="232">
        <v>0.01</v>
      </c>
      <c r="N76" s="232">
        <v>0.01</v>
      </c>
      <c r="O76" s="232">
        <v>0.01</v>
      </c>
    </row>
    <row r="77" spans="2:15" x14ac:dyDescent="0.3">
      <c r="B77" s="195" t="s">
        <v>242</v>
      </c>
      <c r="C77" s="218">
        <v>0</v>
      </c>
      <c r="D77" s="218">
        <v>0</v>
      </c>
      <c r="E77" s="218">
        <v>0</v>
      </c>
      <c r="F77" s="218">
        <v>0</v>
      </c>
      <c r="G77" s="219">
        <v>7577</v>
      </c>
      <c r="H77" s="219">
        <v>3796</v>
      </c>
      <c r="I77" s="219">
        <v>2276</v>
      </c>
      <c r="J77" s="220">
        <f t="shared" ref="J77:O77" si="20">I77*(1+J78)</f>
        <v>2276</v>
      </c>
      <c r="K77" s="221">
        <f t="shared" si="20"/>
        <v>2321.52</v>
      </c>
      <c r="L77" s="221">
        <f t="shared" si="20"/>
        <v>2367.9504000000002</v>
      </c>
      <c r="M77" s="221">
        <f t="shared" si="20"/>
        <v>2415.3094080000001</v>
      </c>
      <c r="N77" s="221">
        <f t="shared" si="20"/>
        <v>2439.4625020799999</v>
      </c>
      <c r="O77" s="221">
        <f t="shared" si="20"/>
        <v>2463.8571271008</v>
      </c>
    </row>
    <row r="78" spans="2:15" x14ac:dyDescent="0.3">
      <c r="B78" s="194" t="s">
        <v>238</v>
      </c>
      <c r="D78" s="230"/>
      <c r="E78" s="230"/>
      <c r="F78" s="230"/>
      <c r="G78" s="230"/>
      <c r="H78" s="230">
        <f>H77/G77-1</f>
        <v>-0.49901016233337736</v>
      </c>
      <c r="I78" s="230">
        <f>I77/H77-1</f>
        <v>-0.40042149631190727</v>
      </c>
      <c r="J78" s="229">
        <f t="shared" ref="J78:O78" si="21">IF($D$3="Base",J79,IF($D$3="Bull",J80,J81))</f>
        <v>0</v>
      </c>
      <c r="K78" s="230">
        <f t="shared" si="21"/>
        <v>0.02</v>
      </c>
      <c r="L78" s="230">
        <f t="shared" si="21"/>
        <v>0.02</v>
      </c>
      <c r="M78" s="230">
        <f t="shared" si="21"/>
        <v>0.02</v>
      </c>
      <c r="N78" s="230">
        <f t="shared" si="21"/>
        <v>0.01</v>
      </c>
      <c r="O78" s="230">
        <f t="shared" si="21"/>
        <v>0.01</v>
      </c>
    </row>
    <row r="79" spans="2:15" x14ac:dyDescent="0.3">
      <c r="B79" s="194" t="s">
        <v>222</v>
      </c>
      <c r="J79" s="231">
        <v>0.05</v>
      </c>
      <c r="K79" s="232">
        <v>0.06</v>
      </c>
      <c r="L79" s="232">
        <v>0.05</v>
      </c>
      <c r="M79" s="232">
        <v>0.04</v>
      </c>
      <c r="N79" s="232">
        <v>0.03</v>
      </c>
      <c r="O79" s="232">
        <v>0.03</v>
      </c>
    </row>
    <row r="80" spans="2:15" x14ac:dyDescent="0.3">
      <c r="B80" s="194" t="s">
        <v>223</v>
      </c>
      <c r="J80" s="231">
        <v>0.08</v>
      </c>
      <c r="K80" s="232">
        <v>0.1</v>
      </c>
      <c r="L80" s="232">
        <v>0.08</v>
      </c>
      <c r="M80" s="232">
        <v>0.06</v>
      </c>
      <c r="N80" s="232">
        <v>0.05</v>
      </c>
      <c r="O80" s="232">
        <v>0.04</v>
      </c>
    </row>
    <row r="81" spans="2:15" x14ac:dyDescent="0.3">
      <c r="B81" s="194" t="s">
        <v>224</v>
      </c>
      <c r="J81" s="231">
        <v>0</v>
      </c>
      <c r="K81" s="232">
        <v>0.02</v>
      </c>
      <c r="L81" s="232">
        <v>0.02</v>
      </c>
      <c r="M81" s="232">
        <v>0.02</v>
      </c>
      <c r="N81" s="232">
        <v>0.01</v>
      </c>
      <c r="O81" s="232">
        <v>0.01</v>
      </c>
    </row>
    <row r="82" spans="2:15" x14ac:dyDescent="0.3">
      <c r="B82" s="201" t="s">
        <v>243</v>
      </c>
      <c r="C82" s="235">
        <v>15520</v>
      </c>
      <c r="D82" s="235">
        <v>15349</v>
      </c>
      <c r="E82" s="235">
        <v>17079</v>
      </c>
      <c r="F82" s="235">
        <v>24199</v>
      </c>
      <c r="G82" s="236">
        <f>G57+G62+G67+G72+G77</f>
        <v>22076</v>
      </c>
      <c r="H82" s="236">
        <f>H57+H62+H67+H72+H77</f>
        <v>18099</v>
      </c>
      <c r="I82" s="236">
        <f>I57+I62+I67+I72+I77</f>
        <v>16579</v>
      </c>
      <c r="J82" s="237">
        <f t="shared" ref="J82:O82" si="22">J57+J62+J67+J72+J77</f>
        <v>16319</v>
      </c>
      <c r="K82" s="238">
        <f t="shared" si="22"/>
        <v>16027.978000000001</v>
      </c>
      <c r="L82" s="238">
        <f t="shared" si="22"/>
        <v>15914.747899999998</v>
      </c>
      <c r="M82" s="238">
        <f t="shared" si="22"/>
        <v>15914.789043000001</v>
      </c>
      <c r="N82" s="238">
        <f t="shared" si="22"/>
        <v>15928.338571230001</v>
      </c>
      <c r="O82" s="238">
        <f t="shared" si="22"/>
        <v>16003.713650390298</v>
      </c>
    </row>
    <row r="83" spans="2:15" x14ac:dyDescent="0.3">
      <c r="B83" s="194" t="s">
        <v>235</v>
      </c>
      <c r="D83" s="230">
        <f t="shared" ref="D83:O83" si="23">D82/C82-1</f>
        <v>-1.1018041237113363E-2</v>
      </c>
      <c r="E83" s="230">
        <f t="shared" si="23"/>
        <v>0.11271092579321129</v>
      </c>
      <c r="F83" s="230">
        <f t="shared" si="23"/>
        <v>0.41688623455705831</v>
      </c>
      <c r="G83" s="230">
        <f t="shared" si="23"/>
        <v>-8.773089797099054E-2</v>
      </c>
      <c r="H83" s="230">
        <f t="shared" si="23"/>
        <v>-0.18015038956332674</v>
      </c>
      <c r="I83" s="230">
        <f t="shared" si="23"/>
        <v>-8.3982540471849276E-2</v>
      </c>
      <c r="J83" s="229">
        <f t="shared" si="23"/>
        <v>-1.5682489896857499E-2</v>
      </c>
      <c r="K83" s="230">
        <f t="shared" si="23"/>
        <v>-1.783332312028918E-2</v>
      </c>
      <c r="L83" s="230">
        <f t="shared" si="23"/>
        <v>-7.0645280396568477E-3</v>
      </c>
      <c r="M83" s="230">
        <f t="shared" si="23"/>
        <v>2.5852121730007838E-6</v>
      </c>
      <c r="N83" s="230">
        <f t="shared" si="23"/>
        <v>8.5137969428239479E-4</v>
      </c>
      <c r="O83" s="230">
        <f t="shared" si="23"/>
        <v>4.7321369283574999E-3</v>
      </c>
    </row>
    <row r="84" spans="2:15" x14ac:dyDescent="0.3">
      <c r="J84" s="206"/>
    </row>
    <row r="85" spans="2:15" x14ac:dyDescent="0.3">
      <c r="B85" s="195" t="s">
        <v>244</v>
      </c>
      <c r="J85" s="206"/>
    </row>
    <row r="86" spans="2:15" x14ac:dyDescent="0.3">
      <c r="J86" s="206"/>
    </row>
    <row r="87" spans="2:15" x14ac:dyDescent="0.3">
      <c r="B87" s="195" t="s">
        <v>245</v>
      </c>
      <c r="C87" s="218">
        <v>0</v>
      </c>
      <c r="D87" s="218">
        <v>0</v>
      </c>
      <c r="E87" s="218">
        <v>0</v>
      </c>
      <c r="F87" s="218">
        <v>0</v>
      </c>
      <c r="G87" s="218">
        <v>0</v>
      </c>
      <c r="H87" s="219">
        <v>14200</v>
      </c>
      <c r="I87" s="219">
        <v>18500</v>
      </c>
      <c r="J87" s="220">
        <f t="shared" ref="J87:O87" si="24">I87*(1+J88)</f>
        <v>19980</v>
      </c>
      <c r="K87" s="221">
        <f t="shared" si="24"/>
        <v>20979</v>
      </c>
      <c r="L87" s="221">
        <f t="shared" si="24"/>
        <v>21818.16</v>
      </c>
      <c r="M87" s="221">
        <f t="shared" si="24"/>
        <v>22472.7048</v>
      </c>
      <c r="N87" s="221">
        <f t="shared" si="24"/>
        <v>23146.885944000001</v>
      </c>
      <c r="O87" s="221">
        <f t="shared" si="24"/>
        <v>23609.82366288</v>
      </c>
    </row>
    <row r="88" spans="2:15" x14ac:dyDescent="0.3">
      <c r="B88" s="194" t="s">
        <v>238</v>
      </c>
      <c r="I88" s="230">
        <f>I87/H87-1</f>
        <v>0.30281690140845074</v>
      </c>
      <c r="J88" s="229">
        <f t="shared" ref="J88:O88" si="25">IF($D$3="Base",J89,IF($D$3="Bull",J90,J91))</f>
        <v>0.08</v>
      </c>
      <c r="K88" s="230">
        <f t="shared" si="25"/>
        <v>0.05</v>
      </c>
      <c r="L88" s="230">
        <f t="shared" si="25"/>
        <v>0.04</v>
      </c>
      <c r="M88" s="230">
        <f t="shared" si="25"/>
        <v>0.03</v>
      </c>
      <c r="N88" s="230">
        <f t="shared" si="25"/>
        <v>0.03</v>
      </c>
      <c r="O88" s="230">
        <f t="shared" si="25"/>
        <v>0.02</v>
      </c>
    </row>
    <row r="89" spans="2:15" x14ac:dyDescent="0.3">
      <c r="B89" s="194" t="s">
        <v>222</v>
      </c>
      <c r="J89" s="231">
        <v>0.14000000000000001</v>
      </c>
      <c r="K89" s="232">
        <v>0.1</v>
      </c>
      <c r="L89" s="232">
        <v>7.0000000000000007E-2</v>
      </c>
      <c r="M89" s="232">
        <v>0.06</v>
      </c>
      <c r="N89" s="232">
        <v>0.05</v>
      </c>
      <c r="O89" s="232">
        <v>0.04</v>
      </c>
    </row>
    <row r="90" spans="2:15" x14ac:dyDescent="0.3">
      <c r="B90" s="194" t="s">
        <v>223</v>
      </c>
      <c r="J90" s="231">
        <v>0.18</v>
      </c>
      <c r="K90" s="232">
        <v>0.13</v>
      </c>
      <c r="L90" s="232">
        <v>0.1</v>
      </c>
      <c r="M90" s="232">
        <v>0.08</v>
      </c>
      <c r="N90" s="232">
        <v>7.0000000000000007E-2</v>
      </c>
      <c r="O90" s="232">
        <v>0.06</v>
      </c>
    </row>
    <row r="91" spans="2:15" x14ac:dyDescent="0.3">
      <c r="B91" s="194" t="s">
        <v>224</v>
      </c>
      <c r="J91" s="231">
        <v>0.08</v>
      </c>
      <c r="K91" s="232">
        <v>0.05</v>
      </c>
      <c r="L91" s="232">
        <v>0.04</v>
      </c>
      <c r="M91" s="232">
        <v>0.03</v>
      </c>
      <c r="N91" s="232">
        <v>0.03</v>
      </c>
      <c r="O91" s="232">
        <v>0.02</v>
      </c>
    </row>
    <row r="92" spans="2:15" x14ac:dyDescent="0.3">
      <c r="B92" s="195" t="s">
        <v>246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9">
        <v>5557</v>
      </c>
      <c r="I92" s="219">
        <v>5857</v>
      </c>
      <c r="J92" s="220">
        <f t="shared" ref="J92:O92" si="26">I92*(1+J93)</f>
        <v>5857</v>
      </c>
      <c r="K92" s="221">
        <f t="shared" si="26"/>
        <v>5857</v>
      </c>
      <c r="L92" s="221">
        <f t="shared" si="26"/>
        <v>5857</v>
      </c>
      <c r="M92" s="221">
        <f t="shared" si="26"/>
        <v>5857</v>
      </c>
      <c r="N92" s="221">
        <f t="shared" si="26"/>
        <v>5857</v>
      </c>
      <c r="O92" s="221">
        <f t="shared" si="26"/>
        <v>5857</v>
      </c>
    </row>
    <row r="93" spans="2:15" x14ac:dyDescent="0.3">
      <c r="B93" s="194" t="s">
        <v>238</v>
      </c>
      <c r="I93" s="230">
        <f>I92/H92-1</f>
        <v>5.3985963649451074E-2</v>
      </c>
      <c r="J93" s="229">
        <f t="shared" ref="J93:O93" si="27">IF($D$3="Base",J94,IF($D$3="Bull",J95,J96))</f>
        <v>0</v>
      </c>
      <c r="K93" s="230">
        <f t="shared" si="27"/>
        <v>0</v>
      </c>
      <c r="L93" s="230">
        <f t="shared" si="27"/>
        <v>0</v>
      </c>
      <c r="M93" s="230">
        <f t="shared" si="27"/>
        <v>0</v>
      </c>
      <c r="N93" s="230">
        <f t="shared" si="27"/>
        <v>0</v>
      </c>
      <c r="O93" s="230">
        <f t="shared" si="27"/>
        <v>0</v>
      </c>
    </row>
    <row r="94" spans="2:15" x14ac:dyDescent="0.3">
      <c r="B94" s="194" t="s">
        <v>222</v>
      </c>
      <c r="J94" s="231">
        <v>0.03</v>
      </c>
      <c r="K94" s="232">
        <v>0.02</v>
      </c>
      <c r="L94" s="232">
        <v>0.02</v>
      </c>
      <c r="M94" s="232">
        <v>0.01</v>
      </c>
      <c r="N94" s="232">
        <v>0.01</v>
      </c>
      <c r="O94" s="232">
        <v>0.01</v>
      </c>
    </row>
    <row r="95" spans="2:15" x14ac:dyDescent="0.3">
      <c r="B95" s="194" t="s">
        <v>223</v>
      </c>
      <c r="J95" s="231">
        <v>0.05</v>
      </c>
      <c r="K95" s="232">
        <v>0.04</v>
      </c>
      <c r="L95" s="232">
        <v>0.03</v>
      </c>
      <c r="M95" s="232">
        <v>0.02</v>
      </c>
      <c r="N95" s="232">
        <v>0.02</v>
      </c>
      <c r="O95" s="232">
        <v>0.02</v>
      </c>
    </row>
    <row r="96" spans="2:15" x14ac:dyDescent="0.3">
      <c r="B96" s="194" t="s">
        <v>224</v>
      </c>
      <c r="J96" s="231">
        <v>0</v>
      </c>
      <c r="K96" s="232">
        <v>0</v>
      </c>
      <c r="L96" s="232">
        <v>0</v>
      </c>
      <c r="M96" s="232">
        <v>0</v>
      </c>
      <c r="N96" s="232">
        <v>0</v>
      </c>
      <c r="O96" s="232">
        <v>0</v>
      </c>
    </row>
    <row r="97" spans="2:15" x14ac:dyDescent="0.3">
      <c r="B97" s="201" t="s">
        <v>247</v>
      </c>
      <c r="C97" s="235">
        <v>4588</v>
      </c>
      <c r="D97" s="235">
        <v>5886</v>
      </c>
      <c r="E97" s="235">
        <v>5921</v>
      </c>
      <c r="F97" s="235">
        <v>6922</v>
      </c>
      <c r="G97" s="235">
        <v>7120</v>
      </c>
      <c r="H97" s="236">
        <f t="shared" ref="H97:O97" si="28">H87+H92</f>
        <v>19757</v>
      </c>
      <c r="I97" s="236">
        <f t="shared" si="28"/>
        <v>24357</v>
      </c>
      <c r="J97" s="237">
        <f t="shared" si="28"/>
        <v>25837</v>
      </c>
      <c r="K97" s="238">
        <f t="shared" si="28"/>
        <v>26836</v>
      </c>
      <c r="L97" s="238">
        <f t="shared" si="28"/>
        <v>27675.16</v>
      </c>
      <c r="M97" s="238">
        <f t="shared" si="28"/>
        <v>28329.7048</v>
      </c>
      <c r="N97" s="238">
        <f t="shared" si="28"/>
        <v>29003.885944000001</v>
      </c>
      <c r="O97" s="238">
        <f t="shared" si="28"/>
        <v>29466.82366288</v>
      </c>
    </row>
    <row r="98" spans="2:15" x14ac:dyDescent="0.3">
      <c r="B98" s="194" t="s">
        <v>235</v>
      </c>
      <c r="D98" s="230">
        <f t="shared" ref="D98:O98" si="29">D97/C97-1</f>
        <v>0.28291194420226673</v>
      </c>
      <c r="E98" s="230">
        <f t="shared" si="29"/>
        <v>5.9463132857628942E-3</v>
      </c>
      <c r="F98" s="230">
        <f t="shared" si="29"/>
        <v>0.16905928052693797</v>
      </c>
      <c r="G98" s="230">
        <f t="shared" si="29"/>
        <v>2.8604449581046021E-2</v>
      </c>
      <c r="H98" s="230">
        <f t="shared" si="29"/>
        <v>1.7748595505617977</v>
      </c>
      <c r="I98" s="230">
        <f t="shared" si="29"/>
        <v>0.23282887077997683</v>
      </c>
      <c r="J98" s="229">
        <f t="shared" si="29"/>
        <v>6.076281972328279E-2</v>
      </c>
      <c r="K98" s="230">
        <f t="shared" si="29"/>
        <v>3.8665479738359654E-2</v>
      </c>
      <c r="L98" s="230">
        <f t="shared" si="29"/>
        <v>3.1269935906990565E-2</v>
      </c>
      <c r="M98" s="230">
        <f t="shared" si="29"/>
        <v>2.3650985215623033E-2</v>
      </c>
      <c r="N98" s="230">
        <f t="shared" si="29"/>
        <v>2.3797676282175884E-2</v>
      </c>
      <c r="O98" s="230">
        <f t="shared" si="29"/>
        <v>1.5961230842440388E-2</v>
      </c>
    </row>
    <row r="99" spans="2:15" ht="15" thickBot="1" x14ac:dyDescent="0.35">
      <c r="J99" s="206"/>
    </row>
    <row r="100" spans="2:15" ht="16.2" thickBot="1" x14ac:dyDescent="0.35">
      <c r="B100" s="202" t="s">
        <v>248</v>
      </c>
      <c r="C100" s="239">
        <f t="shared" ref="C100:I100" si="30">C52+C82+C97</f>
        <v>20108</v>
      </c>
      <c r="D100" s="239">
        <f t="shared" si="30"/>
        <v>21235</v>
      </c>
      <c r="E100" s="239">
        <f t="shared" si="30"/>
        <v>23000</v>
      </c>
      <c r="F100" s="239">
        <f t="shared" si="30"/>
        <v>31121</v>
      </c>
      <c r="G100" s="239">
        <f t="shared" si="30"/>
        <v>33396</v>
      </c>
      <c r="H100" s="239">
        <f t="shared" si="30"/>
        <v>50056</v>
      </c>
      <c r="I100" s="239">
        <f t="shared" si="30"/>
        <v>61715</v>
      </c>
      <c r="J100" s="240">
        <f t="shared" ref="J100:O100" si="31">J52+J82+J97</f>
        <v>76556</v>
      </c>
      <c r="K100" s="241">
        <f t="shared" si="31"/>
        <v>111863.978</v>
      </c>
      <c r="L100" s="241">
        <f t="shared" si="31"/>
        <v>132089.90789999999</v>
      </c>
      <c r="M100" s="241">
        <f t="shared" si="31"/>
        <v>140744.493843</v>
      </c>
      <c r="N100" s="241">
        <f t="shared" si="31"/>
        <v>145932.22451523002</v>
      </c>
      <c r="O100" s="241">
        <f t="shared" si="31"/>
        <v>146470.5373132703</v>
      </c>
    </row>
    <row r="101" spans="2:15" x14ac:dyDescent="0.3">
      <c r="B101" s="194" t="s">
        <v>235</v>
      </c>
      <c r="D101" s="230">
        <f t="shared" ref="D101:O101" si="32">D100/C100-1</f>
        <v>5.6047344340560912E-2</v>
      </c>
      <c r="E101" s="230">
        <f t="shared" si="32"/>
        <v>8.3117494702142691E-2</v>
      </c>
      <c r="F101" s="230">
        <f t="shared" si="32"/>
        <v>0.35308695652173916</v>
      </c>
      <c r="G101" s="230">
        <f t="shared" si="32"/>
        <v>7.3101764082130982E-2</v>
      </c>
      <c r="H101" s="230">
        <f t="shared" si="32"/>
        <v>0.49886213917834477</v>
      </c>
      <c r="I101" s="230">
        <f t="shared" si="32"/>
        <v>0.23291913057375746</v>
      </c>
      <c r="J101" s="229">
        <f t="shared" si="32"/>
        <v>0.24047638337519239</v>
      </c>
      <c r="K101" s="230">
        <f t="shared" si="32"/>
        <v>0.46120458226657624</v>
      </c>
      <c r="L101" s="230">
        <f t="shared" si="32"/>
        <v>0.18080824821016095</v>
      </c>
      <c r="M101" s="230">
        <f t="shared" si="32"/>
        <v>6.5520417726023794E-2</v>
      </c>
      <c r="N101" s="230">
        <f t="shared" si="32"/>
        <v>3.6859208702096025E-2</v>
      </c>
      <c r="O101" s="230">
        <f t="shared" si="32"/>
        <v>3.6887863515306929E-3</v>
      </c>
    </row>
    <row r="102" spans="2:15" ht="15.6" x14ac:dyDescent="0.3">
      <c r="B102" s="250" t="s">
        <v>257</v>
      </c>
      <c r="C102" s="251">
        <f>'Income Statement'!C11</f>
        <v>20107.89</v>
      </c>
      <c r="D102" s="251">
        <f>'Income Statement'!D11</f>
        <v>21234.75</v>
      </c>
      <c r="E102" s="251">
        <f>'Income Statement'!E11</f>
        <v>23000.199999999997</v>
      </c>
      <c r="F102" s="251">
        <f>'Income Statement'!F11</f>
        <v>31121.02</v>
      </c>
      <c r="G102" s="251">
        <f>'Income Statement'!G11</f>
        <v>33396.07</v>
      </c>
      <c r="H102" s="251">
        <f>'Income Statement'!H11</f>
        <v>47440.399999999994</v>
      </c>
      <c r="I102" s="254">
        <f>'Income Statement'!I11</f>
        <v>57570.619999999995</v>
      </c>
      <c r="J102"/>
      <c r="K102"/>
      <c r="L102"/>
      <c r="M102"/>
      <c r="N102"/>
      <c r="O102"/>
    </row>
    <row r="103" spans="2:15" ht="15.6" x14ac:dyDescent="0.3">
      <c r="B103" s="252" t="s">
        <v>258</v>
      </c>
      <c r="C103" s="253">
        <f t="shared" ref="C103:I103" si="33">C100-C102</f>
        <v>0.11000000000058208</v>
      </c>
      <c r="D103" s="253">
        <f t="shared" si="33"/>
        <v>0.25</v>
      </c>
      <c r="E103" s="253">
        <f t="shared" si="33"/>
        <v>-0.19999999999708962</v>
      </c>
      <c r="F103" s="253">
        <f t="shared" si="33"/>
        <v>-2.0000000000436557E-2</v>
      </c>
      <c r="G103" s="253">
        <f t="shared" si="33"/>
        <v>-6.9999999999708962E-2</v>
      </c>
      <c r="H103" s="253">
        <f t="shared" si="33"/>
        <v>2615.6000000000058</v>
      </c>
      <c r="I103" s="255">
        <f t="shared" si="33"/>
        <v>4144.3800000000047</v>
      </c>
      <c r="J103"/>
      <c r="K103"/>
      <c r="L103"/>
      <c r="M103"/>
      <c r="N103"/>
      <c r="O103"/>
    </row>
    <row r="104" spans="2:15" x14ac:dyDescent="0.3">
      <c r="B104" s="47"/>
      <c r="C104" s="47"/>
      <c r="D104" s="47"/>
      <c r="E104" s="47"/>
      <c r="F104" s="47"/>
      <c r="G104" s="47"/>
      <c r="H104" s="47"/>
      <c r="I104" s="256"/>
      <c r="J104" s="47"/>
      <c r="K104" s="47"/>
      <c r="L104" s="47"/>
      <c r="M104" s="47"/>
      <c r="N104" s="47"/>
      <c r="O104" s="47"/>
    </row>
    <row r="105" spans="2:15" x14ac:dyDescent="0.3">
      <c r="J105" s="206"/>
    </row>
    <row r="106" spans="2:15" x14ac:dyDescent="0.3">
      <c r="B106" s="203" t="s">
        <v>249</v>
      </c>
      <c r="C106" s="204"/>
      <c r="D106" s="204"/>
      <c r="E106" s="204"/>
      <c r="F106" s="204"/>
      <c r="G106" s="204"/>
      <c r="H106" s="204"/>
      <c r="I106" s="204"/>
      <c r="J106" s="207"/>
      <c r="K106" s="204"/>
      <c r="L106" s="204"/>
      <c r="M106" s="204"/>
      <c r="N106" s="204"/>
      <c r="O106" s="204"/>
    </row>
    <row r="107" spans="2:15" x14ac:dyDescent="0.3">
      <c r="B107" s="194" t="s">
        <v>250</v>
      </c>
      <c r="C107" s="230">
        <f t="shared" ref="C107:O107" si="34">IF(C100=0,0,C52/C100)</f>
        <v>0</v>
      </c>
      <c r="D107" s="230">
        <f t="shared" si="34"/>
        <v>0</v>
      </c>
      <c r="E107" s="230">
        <f t="shared" si="34"/>
        <v>0</v>
      </c>
      <c r="F107" s="230">
        <f t="shared" si="34"/>
        <v>0</v>
      </c>
      <c r="G107" s="230">
        <f t="shared" si="34"/>
        <v>0.12576356449874238</v>
      </c>
      <c r="H107" s="230">
        <f t="shared" si="34"/>
        <v>0.24372702573118107</v>
      </c>
      <c r="I107" s="230">
        <f t="shared" si="34"/>
        <v>0.33669286235113022</v>
      </c>
      <c r="J107" s="229">
        <f t="shared" si="34"/>
        <v>0.44934427086054651</v>
      </c>
      <c r="K107" s="230">
        <f t="shared" si="34"/>
        <v>0.61682054611002657</v>
      </c>
      <c r="L107" s="230">
        <f t="shared" si="34"/>
        <v>0.66999819597875576</v>
      </c>
      <c r="M107" s="230">
        <f t="shared" si="34"/>
        <v>0.68563961093671921</v>
      </c>
      <c r="N107" s="230">
        <f t="shared" si="34"/>
        <v>0.69210210654644877</v>
      </c>
      <c r="O107" s="230">
        <f t="shared" si="34"/>
        <v>0.6895584726639038</v>
      </c>
    </row>
    <row r="108" spans="2:15" x14ac:dyDescent="0.3">
      <c r="B108" s="194" t="s">
        <v>251</v>
      </c>
      <c r="C108" s="230">
        <f t="shared" ref="C108:O108" si="35">C82/C100</f>
        <v>0.77183210662422919</v>
      </c>
      <c r="D108" s="230">
        <f t="shared" si="35"/>
        <v>0.72281610548622555</v>
      </c>
      <c r="E108" s="230">
        <f t="shared" si="35"/>
        <v>0.74256521739130432</v>
      </c>
      <c r="F108" s="230">
        <f t="shared" si="35"/>
        <v>0.77757784132900609</v>
      </c>
      <c r="G108" s="230">
        <f t="shared" si="35"/>
        <v>0.66103724997005631</v>
      </c>
      <c r="H108" s="230">
        <f t="shared" si="35"/>
        <v>0.36157503595972512</v>
      </c>
      <c r="I108" s="230">
        <f t="shared" si="35"/>
        <v>0.26863809446649922</v>
      </c>
      <c r="J108" s="229">
        <f t="shared" si="35"/>
        <v>0.21316421965619939</v>
      </c>
      <c r="K108" s="230">
        <f t="shared" si="35"/>
        <v>0.14328095859419554</v>
      </c>
      <c r="L108" s="230">
        <f t="shared" si="35"/>
        <v>0.12048420771137505</v>
      </c>
      <c r="M108" s="230">
        <f t="shared" si="35"/>
        <v>0.11307574888686511</v>
      </c>
      <c r="N108" s="230">
        <f t="shared" si="35"/>
        <v>0.10914887800924093</v>
      </c>
      <c r="O108" s="230">
        <f t="shared" si="35"/>
        <v>0.10926234001696637</v>
      </c>
    </row>
    <row r="109" spans="2:15" x14ac:dyDescent="0.3">
      <c r="B109" s="194" t="s">
        <v>252</v>
      </c>
      <c r="C109" s="230">
        <f t="shared" ref="C109:O109" si="36">C97/C100</f>
        <v>0.22816789337577084</v>
      </c>
      <c r="D109" s="230">
        <f t="shared" si="36"/>
        <v>0.27718389451377445</v>
      </c>
      <c r="E109" s="230">
        <f t="shared" si="36"/>
        <v>0.25743478260869568</v>
      </c>
      <c r="F109" s="230">
        <f t="shared" si="36"/>
        <v>0.22242215867099385</v>
      </c>
      <c r="G109" s="230">
        <f t="shared" si="36"/>
        <v>0.21319918553120135</v>
      </c>
      <c r="H109" s="230">
        <f t="shared" si="36"/>
        <v>0.39469793830909383</v>
      </c>
      <c r="I109" s="230">
        <f t="shared" si="36"/>
        <v>0.39466904318237056</v>
      </c>
      <c r="J109" s="229">
        <f t="shared" si="36"/>
        <v>0.33749150948325407</v>
      </c>
      <c r="K109" s="230">
        <f t="shared" si="36"/>
        <v>0.23989849529577786</v>
      </c>
      <c r="L109" s="230">
        <f t="shared" si="36"/>
        <v>0.20951759630986919</v>
      </c>
      <c r="M109" s="230">
        <f t="shared" si="36"/>
        <v>0.20128464017641562</v>
      </c>
      <c r="N109" s="230">
        <f t="shared" si="36"/>
        <v>0.19874901544431026</v>
      </c>
      <c r="O109" s="230">
        <f t="shared" si="36"/>
        <v>0.20117918731912984</v>
      </c>
    </row>
    <row r="110" spans="2:15" x14ac:dyDescent="0.3">
      <c r="B110" s="194" t="s">
        <v>255</v>
      </c>
      <c r="C110" s="247">
        <f>C109+C108+C107</f>
        <v>1</v>
      </c>
      <c r="D110" s="247">
        <f t="shared" ref="D110:O110" si="37">D109+D108+D107</f>
        <v>1</v>
      </c>
      <c r="E110" s="247">
        <f t="shared" si="37"/>
        <v>1</v>
      </c>
      <c r="F110" s="247">
        <f t="shared" si="37"/>
        <v>1</v>
      </c>
      <c r="G110" s="247">
        <f t="shared" si="37"/>
        <v>1</v>
      </c>
      <c r="H110" s="247">
        <f t="shared" si="37"/>
        <v>1</v>
      </c>
      <c r="I110" s="248">
        <f t="shared" si="37"/>
        <v>1</v>
      </c>
      <c r="J110" s="247">
        <f t="shared" si="37"/>
        <v>1</v>
      </c>
      <c r="K110" s="247">
        <f t="shared" si="37"/>
        <v>1</v>
      </c>
      <c r="L110" s="247">
        <f t="shared" si="37"/>
        <v>1</v>
      </c>
      <c r="M110" s="247">
        <f t="shared" si="37"/>
        <v>1</v>
      </c>
      <c r="N110" s="247">
        <f t="shared" si="37"/>
        <v>1</v>
      </c>
      <c r="O110" s="247">
        <f t="shared" si="37"/>
        <v>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E5D8-64D8-42AC-84EF-EEB4D803AE33}">
  <dimension ref="A1:M55"/>
  <sheetViews>
    <sheetView showGridLines="0" zoomScaleNormal="100" workbookViewId="0"/>
  </sheetViews>
  <sheetFormatPr defaultRowHeight="15.6" x14ac:dyDescent="0.3"/>
  <cols>
    <col min="1" max="1" width="2.77734375" customWidth="1"/>
    <col min="2" max="2" width="42.5546875" customWidth="1"/>
    <col min="3" max="9" width="15.77734375" customWidth="1"/>
    <col min="10" max="10" width="3.6640625" customWidth="1"/>
    <col min="11" max="11" width="32.44140625" customWidth="1"/>
    <col min="12" max="12" width="3.6640625" customWidth="1"/>
    <col min="13" max="13" width="15.77734375" customWidth="1"/>
    <col min="14" max="14" width="3.6640625" customWidth="1"/>
    <col min="15" max="15" width="42.5546875" customWidth="1"/>
    <col min="16" max="16" width="3.6640625" customWidth="1"/>
    <col min="17" max="17" width="17.5546875" customWidth="1"/>
  </cols>
  <sheetData>
    <row r="1" spans="1:13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3">
      <c r="A2" s="72"/>
      <c r="B2" s="73" t="s">
        <v>186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3">
      <c r="A3" s="72"/>
      <c r="B3" s="72" t="s">
        <v>125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3">
      <c r="A5" s="72"/>
      <c r="B5" s="90" t="s">
        <v>149</v>
      </c>
      <c r="C5" s="184" t="s">
        <v>155</v>
      </c>
      <c r="D5" s="91" t="s">
        <v>156</v>
      </c>
      <c r="E5" s="91" t="s">
        <v>157</v>
      </c>
      <c r="F5" s="91" t="s">
        <v>158</v>
      </c>
      <c r="G5" s="91" t="s">
        <v>159</v>
      </c>
      <c r="H5" s="91" t="s">
        <v>160</v>
      </c>
      <c r="I5" s="91" t="s">
        <v>161</v>
      </c>
      <c r="J5" s="72"/>
      <c r="K5" s="36" t="s">
        <v>187</v>
      </c>
      <c r="L5" s="132"/>
      <c r="M5" s="38"/>
    </row>
    <row r="6" spans="1:13" x14ac:dyDescent="0.3">
      <c r="A6" s="72"/>
      <c r="B6" s="72"/>
      <c r="C6" s="104"/>
      <c r="D6" s="72"/>
      <c r="E6" s="72"/>
      <c r="F6" s="72"/>
      <c r="G6" s="72"/>
      <c r="H6" s="72"/>
      <c r="I6" s="72"/>
      <c r="J6" s="72"/>
      <c r="K6" s="133" t="s">
        <v>203</v>
      </c>
      <c r="L6" s="72"/>
      <c r="M6" s="137">
        <f>I17+I25</f>
        <v>90372.321522287762</v>
      </c>
    </row>
    <row r="7" spans="1:13" x14ac:dyDescent="0.3">
      <c r="A7" s="72"/>
      <c r="B7" s="73" t="s">
        <v>188</v>
      </c>
      <c r="C7" s="185">
        <f>'Drivers &amp; Operating Metrics'!I19</f>
        <v>57570.619999999995</v>
      </c>
      <c r="D7" s="115">
        <f>'Drivers &amp; Operating Metrics'!J19</f>
        <v>76556</v>
      </c>
      <c r="E7" s="115">
        <f>'Drivers &amp; Operating Metrics'!K19</f>
        <v>111863.978</v>
      </c>
      <c r="F7" s="115">
        <f>'Drivers &amp; Operating Metrics'!L19</f>
        <v>132089.90789999999</v>
      </c>
      <c r="G7" s="115">
        <f>'Drivers &amp; Operating Metrics'!M19</f>
        <v>140744.493843</v>
      </c>
      <c r="H7" s="115">
        <f>'Drivers &amp; Operating Metrics'!N19</f>
        <v>145932.22451523002</v>
      </c>
      <c r="I7" s="115">
        <f>'Drivers &amp; Operating Metrics'!O19</f>
        <v>146470.5373132703</v>
      </c>
      <c r="J7" s="72"/>
      <c r="K7" s="133" t="s">
        <v>204</v>
      </c>
      <c r="L7" s="72"/>
      <c r="M7" s="146">
        <f>'Drivers &amp; Operating Metrics'!J105</f>
        <v>20.5</v>
      </c>
    </row>
    <row r="8" spans="1:13" x14ac:dyDescent="0.3">
      <c r="A8" s="72"/>
      <c r="B8" s="72" t="s">
        <v>162</v>
      </c>
      <c r="C8" s="105"/>
      <c r="D8" s="82">
        <f>D7/C7-1</f>
        <v>0.32977550007278023</v>
      </c>
      <c r="E8" s="82">
        <f t="shared" ref="E8:I8" si="0">E7/D7-1</f>
        <v>0.46120458226657624</v>
      </c>
      <c r="F8" s="82">
        <f t="shared" si="0"/>
        <v>0.18080824821016095</v>
      </c>
      <c r="G8" s="82">
        <f t="shared" si="0"/>
        <v>6.5520417726023794E-2</v>
      </c>
      <c r="H8" s="82">
        <f t="shared" si="0"/>
        <v>3.6859208702096025E-2</v>
      </c>
      <c r="I8" s="82">
        <f t="shared" si="0"/>
        <v>3.6887863515306929E-3</v>
      </c>
      <c r="J8" s="72"/>
      <c r="K8" s="134" t="s">
        <v>205</v>
      </c>
      <c r="L8" s="93"/>
      <c r="M8" s="138">
        <f>M6*M7</f>
        <v>1852632.5912068991</v>
      </c>
    </row>
    <row r="9" spans="1:13" x14ac:dyDescent="0.3">
      <c r="A9" s="72"/>
      <c r="B9" s="72" t="s">
        <v>7</v>
      </c>
      <c r="C9" s="186">
        <f>'Drivers &amp; Operating Metrics'!I25</f>
        <v>18557.009999999998</v>
      </c>
      <c r="D9" s="116">
        <f>'Drivers &amp; Operating Metrics'!J25</f>
        <v>25263.48</v>
      </c>
      <c r="E9" s="116">
        <f>'Drivers &amp; Operating Metrics'!K25</f>
        <v>35796.472959999999</v>
      </c>
      <c r="F9" s="116">
        <f>'Drivers &amp; Operating Metrics'!L25</f>
        <v>40947.871448999998</v>
      </c>
      <c r="G9" s="116">
        <f>'Drivers &amp; Operating Metrics'!M25</f>
        <v>42223.348152899998</v>
      </c>
      <c r="H9" s="116">
        <f>'Drivers &amp; Operating Metrics'!N25</f>
        <v>42320.345109416703</v>
      </c>
      <c r="I9" s="116">
        <f>'Drivers &amp; Operating Metrics'!O25</f>
        <v>41011.750447715684</v>
      </c>
      <c r="J9" s="72"/>
      <c r="K9" s="133" t="s">
        <v>200</v>
      </c>
      <c r="L9" s="72"/>
      <c r="M9" s="139">
        <f>I33</f>
        <v>0.64079718206157388</v>
      </c>
    </row>
    <row r="10" spans="1:13" x14ac:dyDescent="0.3">
      <c r="A10" s="72"/>
      <c r="B10" s="72"/>
      <c r="C10" s="105"/>
      <c r="D10" s="81"/>
      <c r="E10" s="81"/>
      <c r="F10" s="81"/>
      <c r="G10" s="81"/>
      <c r="H10" s="81"/>
      <c r="I10" s="81"/>
      <c r="J10" s="72"/>
      <c r="K10" s="133" t="s">
        <v>206</v>
      </c>
      <c r="L10" s="72"/>
      <c r="M10" s="137">
        <f>M8*M9</f>
        <v>1187161.7438408127</v>
      </c>
    </row>
    <row r="11" spans="1:13" x14ac:dyDescent="0.3">
      <c r="A11" s="72"/>
      <c r="B11" s="78" t="s">
        <v>8</v>
      </c>
      <c r="C11" s="187">
        <f>C7-C9</f>
        <v>39013.61</v>
      </c>
      <c r="D11" s="117">
        <f t="shared" ref="D11:I11" si="1">D7-D9</f>
        <v>51292.520000000004</v>
      </c>
      <c r="E11" s="117">
        <f t="shared" si="1"/>
        <v>76067.505040000004</v>
      </c>
      <c r="F11" s="117">
        <f t="shared" si="1"/>
        <v>91142.036450999993</v>
      </c>
      <c r="G11" s="117">
        <f t="shared" si="1"/>
        <v>98521.145690100006</v>
      </c>
      <c r="H11" s="117">
        <f t="shared" si="1"/>
        <v>103611.87940581332</v>
      </c>
      <c r="I11" s="117">
        <f t="shared" si="1"/>
        <v>105458.7868655546</v>
      </c>
      <c r="J11" s="72"/>
      <c r="K11" s="133" t="s">
        <v>207</v>
      </c>
      <c r="L11" s="72"/>
      <c r="M11" s="137">
        <f>I36</f>
        <v>285326.60069087683</v>
      </c>
    </row>
    <row r="12" spans="1:13" x14ac:dyDescent="0.3">
      <c r="A12" s="72"/>
      <c r="B12" s="72" t="s">
        <v>189</v>
      </c>
      <c r="C12" s="112">
        <f>C11/C7</f>
        <v>0.67766527440559099</v>
      </c>
      <c r="D12" s="82">
        <f t="shared" ref="D12:I12" si="2">D11/D7</f>
        <v>0.67</v>
      </c>
      <c r="E12" s="82">
        <f t="shared" si="2"/>
        <v>0.68</v>
      </c>
      <c r="F12" s="82">
        <f t="shared" si="2"/>
        <v>0.69</v>
      </c>
      <c r="G12" s="82">
        <f t="shared" si="2"/>
        <v>0.70000000000000007</v>
      </c>
      <c r="H12" s="82">
        <f t="shared" si="2"/>
        <v>0.71000000000000008</v>
      </c>
      <c r="I12" s="82">
        <f t="shared" si="2"/>
        <v>0.72</v>
      </c>
      <c r="J12" s="72"/>
      <c r="K12" s="134" t="s">
        <v>208</v>
      </c>
      <c r="L12" s="93"/>
      <c r="M12" s="138">
        <f>M10+M11</f>
        <v>1472488.3445316895</v>
      </c>
    </row>
    <row r="13" spans="1:13" x14ac:dyDescent="0.3">
      <c r="A13" s="72"/>
      <c r="B13" s="72"/>
      <c r="C13" s="105"/>
      <c r="D13" s="81"/>
      <c r="E13" s="81"/>
      <c r="F13" s="81"/>
      <c r="G13" s="81"/>
      <c r="H13" s="81"/>
      <c r="I13" s="81"/>
      <c r="J13" s="72"/>
      <c r="K13" s="133" t="s">
        <v>209</v>
      </c>
      <c r="L13" s="72"/>
      <c r="M13" s="140">
        <f>($C$31*M8-I28)/(M8+I28)</f>
        <v>4.3057854919494966E-2</v>
      </c>
    </row>
    <row r="14" spans="1:13" x14ac:dyDescent="0.3">
      <c r="A14" s="72"/>
      <c r="B14" s="72" t="s">
        <v>165</v>
      </c>
      <c r="C14" s="186">
        <f>'Drivers &amp; Operating Metrics'!I31</f>
        <v>9891.73</v>
      </c>
      <c r="D14" s="116">
        <f>'Drivers &amp; Operating Metrics'!J31</f>
        <v>12631.74</v>
      </c>
      <c r="E14" s="116">
        <f>'Drivers &amp; Operating Metrics'!K31</f>
        <v>17338.916590000001</v>
      </c>
      <c r="F14" s="116">
        <f>'Drivers &amp; Operating Metrics'!L31</f>
        <v>19813.486184999998</v>
      </c>
      <c r="G14" s="116">
        <f>'Drivers &amp; Operating Metrics'!M31</f>
        <v>20407.951607234998</v>
      </c>
      <c r="H14" s="116">
        <f>'Drivers &amp; Operating Metrics'!N31</f>
        <v>20430.511432132203</v>
      </c>
      <c r="I14" s="116">
        <f>'Drivers &amp; Operating Metrics'!O31</f>
        <v>19773.52253729149</v>
      </c>
      <c r="J14" s="72"/>
      <c r="K14" s="133" t="s">
        <v>210</v>
      </c>
      <c r="L14" s="72"/>
      <c r="M14" s="141">
        <f>WACC!E12</f>
        <v>53740.13</v>
      </c>
    </row>
    <row r="15" spans="1:13" x14ac:dyDescent="0.3">
      <c r="A15" s="72"/>
      <c r="B15" s="72" t="s">
        <v>166</v>
      </c>
      <c r="C15" s="186">
        <f>'Drivers &amp; Operating Metrics'!I37</f>
        <v>3794.67</v>
      </c>
      <c r="D15" s="116">
        <f>'Drivers &amp; Operating Metrics'!J37</f>
        <v>4593.3599999999997</v>
      </c>
      <c r="E15" s="116">
        <f>'Drivers &amp; Operating Metrics'!K37</f>
        <v>6376.2467460000007</v>
      </c>
      <c r="F15" s="116">
        <f>'Drivers &amp; Operating Metrics'!L37</f>
        <v>7264.9449344999994</v>
      </c>
      <c r="G15" s="116">
        <f>'Drivers &amp; Operating Metrics'!M37</f>
        <v>7318.7136798359998</v>
      </c>
      <c r="H15" s="116">
        <f>'Drivers &amp; Operating Metrics'!N37</f>
        <v>7296.6112257615014</v>
      </c>
      <c r="I15" s="116">
        <f>'Drivers &amp; Operating Metrics'!O37</f>
        <v>7030.5857910369741</v>
      </c>
      <c r="J15" s="72"/>
      <c r="K15" s="133" t="s">
        <v>211</v>
      </c>
      <c r="L15" s="72"/>
      <c r="M15" s="141">
        <f>'Balance Sheet'!I10</f>
        <v>14026.33</v>
      </c>
    </row>
    <row r="16" spans="1:13" x14ac:dyDescent="0.3">
      <c r="A16" s="72"/>
      <c r="B16" s="72"/>
      <c r="C16" s="105"/>
      <c r="D16" s="81"/>
      <c r="E16" s="81"/>
      <c r="F16" s="81"/>
      <c r="G16" s="81"/>
      <c r="H16" s="81"/>
      <c r="I16" s="81"/>
      <c r="J16" s="72"/>
      <c r="K16" s="134" t="s">
        <v>212</v>
      </c>
      <c r="L16" s="93"/>
      <c r="M16" s="138">
        <f>M12-M14+M15</f>
        <v>1432774.5445316897</v>
      </c>
    </row>
    <row r="17" spans="1:13" x14ac:dyDescent="0.3">
      <c r="A17" s="72"/>
      <c r="B17" s="78" t="s">
        <v>190</v>
      </c>
      <c r="C17" s="187">
        <f>C11-C14-C15</f>
        <v>25327.21</v>
      </c>
      <c r="D17" s="117">
        <f t="shared" ref="D17:I17" si="3">D11-D14-D15</f>
        <v>34067.420000000006</v>
      </c>
      <c r="E17" s="117">
        <f t="shared" si="3"/>
        <v>52352.341704000006</v>
      </c>
      <c r="F17" s="117">
        <f t="shared" si="3"/>
        <v>64063.605331499988</v>
      </c>
      <c r="G17" s="117">
        <f t="shared" si="3"/>
        <v>70794.480403029011</v>
      </c>
      <c r="H17" s="117">
        <f t="shared" si="3"/>
        <v>75884.756747919615</v>
      </c>
      <c r="I17" s="117">
        <f t="shared" si="3"/>
        <v>78654.678537226137</v>
      </c>
      <c r="J17" s="72"/>
      <c r="K17" s="133" t="s">
        <v>135</v>
      </c>
      <c r="L17" s="72"/>
      <c r="M17" s="141">
        <f>Control!F12</f>
        <v>4730</v>
      </c>
    </row>
    <row r="18" spans="1:13" ht="16.2" thickBot="1" x14ac:dyDescent="0.35">
      <c r="A18" s="72"/>
      <c r="B18" s="72" t="s">
        <v>189</v>
      </c>
      <c r="C18" s="112">
        <f>C17/C7</f>
        <v>0.43993290327601131</v>
      </c>
      <c r="D18" s="82">
        <f t="shared" ref="D18:I18" si="4">D17/D7</f>
        <v>0.44500000000000006</v>
      </c>
      <c r="E18" s="82">
        <f t="shared" si="4"/>
        <v>0.46800000000000003</v>
      </c>
      <c r="F18" s="82">
        <f t="shared" si="4"/>
        <v>0.48499999999999993</v>
      </c>
      <c r="G18" s="82">
        <f t="shared" si="4"/>
        <v>0.50300000000000011</v>
      </c>
      <c r="H18" s="82">
        <f t="shared" si="4"/>
        <v>0.52</v>
      </c>
      <c r="I18" s="82">
        <f t="shared" si="4"/>
        <v>0.53699999999999992</v>
      </c>
      <c r="J18" s="72"/>
      <c r="K18" s="134" t="s">
        <v>213</v>
      </c>
      <c r="L18" s="93"/>
      <c r="M18" s="142">
        <f>M16/M17</f>
        <v>302.91216586293649</v>
      </c>
    </row>
    <row r="19" spans="1:13" x14ac:dyDescent="0.3">
      <c r="A19" s="72"/>
      <c r="B19" s="72"/>
      <c r="C19" s="105"/>
      <c r="D19" s="81"/>
      <c r="E19" s="81"/>
      <c r="F19" s="81"/>
      <c r="G19" s="81"/>
      <c r="H19" s="81"/>
      <c r="I19" s="81"/>
      <c r="J19" s="72"/>
      <c r="K19" s="135" t="s">
        <v>214</v>
      </c>
      <c r="L19" s="136"/>
      <c r="M19" s="143">
        <f>M18/Control!F11-1</f>
        <v>-5.1056778099255906E-2</v>
      </c>
    </row>
    <row r="20" spans="1:13" x14ac:dyDescent="0.3">
      <c r="A20" s="72"/>
      <c r="B20" s="72" t="s">
        <v>191</v>
      </c>
      <c r="C20" s="188">
        <f>C17*'Drivers &amp; Operating Metrics'!I73</f>
        <v>-442.38280356296286</v>
      </c>
      <c r="D20" s="118">
        <f>D17*'Drivers &amp; Operating Metrics'!J73</f>
        <v>5791.461400000001</v>
      </c>
      <c r="E20" s="118">
        <f>E17*'Drivers &amp; Operating Metrics'!K73</f>
        <v>8899.8980896800022</v>
      </c>
      <c r="F20" s="118">
        <f>F17*'Drivers &amp; Operating Metrics'!L73</f>
        <v>10890.812906354999</v>
      </c>
      <c r="G20" s="118">
        <f>G17*'Drivers &amp; Operating Metrics'!M73</f>
        <v>12035.061668514933</v>
      </c>
      <c r="H20" s="118">
        <f>H17*'Drivers &amp; Operating Metrics'!N73</f>
        <v>12900.408647146336</v>
      </c>
      <c r="I20" s="118">
        <f>I17*'Drivers &amp; Operating Metrics'!O73</f>
        <v>13371.295351328445</v>
      </c>
      <c r="J20" s="72"/>
      <c r="K20" s="72"/>
      <c r="L20" s="72"/>
      <c r="M20" s="72"/>
    </row>
    <row r="21" spans="1:13" x14ac:dyDescent="0.3">
      <c r="A21" s="72"/>
      <c r="B21" s="72" t="s">
        <v>192</v>
      </c>
      <c r="C21" s="112">
        <f>C20/C17</f>
        <v>-1.7466700973496996E-2</v>
      </c>
      <c r="D21" s="82">
        <f t="shared" ref="D21:I21" si="5">D20/D17</f>
        <v>0.17</v>
      </c>
      <c r="E21" s="82">
        <f t="shared" si="5"/>
        <v>0.17</v>
      </c>
      <c r="F21" s="82">
        <f t="shared" si="5"/>
        <v>0.17</v>
      </c>
      <c r="G21" s="82">
        <f t="shared" si="5"/>
        <v>0.17</v>
      </c>
      <c r="H21" s="82">
        <f t="shared" si="5"/>
        <v>0.17</v>
      </c>
      <c r="I21" s="82">
        <f t="shared" si="5"/>
        <v>0.17</v>
      </c>
      <c r="J21" s="72"/>
    </row>
    <row r="22" spans="1:13" x14ac:dyDescent="0.3">
      <c r="A22" s="72"/>
      <c r="B22" s="78" t="s">
        <v>193</v>
      </c>
      <c r="C22" s="187">
        <f>C17-C20</f>
        <v>25769.592803562962</v>
      </c>
      <c r="D22" s="117">
        <f t="shared" ref="D22:I22" si="6">D17-D20</f>
        <v>28275.958600000005</v>
      </c>
      <c r="E22" s="117">
        <f t="shared" si="6"/>
        <v>43452.44361432</v>
      </c>
      <c r="F22" s="117">
        <f t="shared" si="6"/>
        <v>53172.792425144988</v>
      </c>
      <c r="G22" s="117">
        <f t="shared" si="6"/>
        <v>58759.418734514082</v>
      </c>
      <c r="H22" s="117">
        <f t="shared" si="6"/>
        <v>62984.348100773277</v>
      </c>
      <c r="I22" s="117">
        <f t="shared" si="6"/>
        <v>65283.383185897692</v>
      </c>
      <c r="J22" s="72"/>
    </row>
    <row r="23" spans="1:13" x14ac:dyDescent="0.3">
      <c r="A23" s="72"/>
      <c r="B23" s="72" t="s">
        <v>189</v>
      </c>
      <c r="C23" s="112">
        <f>C22/C7</f>
        <v>0.44761707974593579</v>
      </c>
      <c r="D23" s="82">
        <f t="shared" ref="D23:I23" si="7">D22/D7</f>
        <v>0.36935000000000007</v>
      </c>
      <c r="E23" s="82">
        <f t="shared" si="7"/>
        <v>0.38844000000000001</v>
      </c>
      <c r="F23" s="82">
        <f t="shared" si="7"/>
        <v>0.40254999999999991</v>
      </c>
      <c r="G23" s="82">
        <f t="shared" si="7"/>
        <v>0.41749000000000008</v>
      </c>
      <c r="H23" s="82">
        <f t="shared" si="7"/>
        <v>0.43160000000000004</v>
      </c>
      <c r="I23" s="82">
        <f t="shared" si="7"/>
        <v>0.44570999999999994</v>
      </c>
      <c r="J23" s="72"/>
    </row>
    <row r="24" spans="1:13" x14ac:dyDescent="0.3">
      <c r="A24" s="72"/>
      <c r="B24" s="72"/>
      <c r="C24" s="105"/>
      <c r="D24" s="81"/>
      <c r="E24" s="81"/>
      <c r="F24" s="81"/>
      <c r="G24" s="81"/>
      <c r="H24" s="81"/>
      <c r="I24" s="81"/>
      <c r="J24" s="72"/>
    </row>
    <row r="25" spans="1:13" x14ac:dyDescent="0.3">
      <c r="A25" s="72"/>
      <c r="B25" s="72" t="s">
        <v>194</v>
      </c>
      <c r="C25" s="186">
        <f>'Drivers &amp; Operating Metrics'!I43</f>
        <v>7907.43</v>
      </c>
      <c r="D25" s="116">
        <f>'Drivers &amp; Operating Metrics'!J43</f>
        <v>9952.2800000000007</v>
      </c>
      <c r="E25" s="116">
        <f>'Drivers &amp; Operating Metrics'!K43</f>
        <v>12305.03758</v>
      </c>
      <c r="F25" s="116">
        <f>'Drivers &amp; Operating Metrics'!L43</f>
        <v>13208.99079</v>
      </c>
      <c r="G25" s="116">
        <f>'Drivers &amp; Operating Metrics'!M43</f>
        <v>12667.004445869999</v>
      </c>
      <c r="H25" s="116">
        <f>'Drivers &amp; Operating Metrics'!N43</f>
        <v>12404.239083794553</v>
      </c>
      <c r="I25" s="116">
        <f>'Drivers &amp; Operating Metrics'!O43</f>
        <v>11717.642985061624</v>
      </c>
      <c r="J25" s="72"/>
    </row>
    <row r="26" spans="1:13" x14ac:dyDescent="0.3">
      <c r="A26" s="72"/>
      <c r="B26" s="72" t="s">
        <v>195</v>
      </c>
      <c r="C26" s="186">
        <f>ABS('Drivers &amp; Operating Metrics'!I57)</f>
        <v>561.41</v>
      </c>
      <c r="D26" s="116">
        <f>ABS('Drivers &amp; Operating Metrics'!J57)</f>
        <v>1531.1200000000001</v>
      </c>
      <c r="E26" s="116">
        <f>ABS('Drivers &amp; Operating Metrics'!K57)</f>
        <v>2461.0075160000001</v>
      </c>
      <c r="F26" s="116">
        <f>ABS('Drivers &amp; Operating Metrics'!L57)</f>
        <v>3302.2476975</v>
      </c>
      <c r="G26" s="116">
        <f>ABS('Drivers &amp; Operating Metrics'!M57)</f>
        <v>3518.6123460750005</v>
      </c>
      <c r="H26" s="116">
        <f>ABS('Drivers &amp; Operating Metrics'!N57)</f>
        <v>3210.5089393350604</v>
      </c>
      <c r="I26" s="116">
        <f>ABS('Drivers &amp; Operating Metrics'!O57)</f>
        <v>2929.410746265406</v>
      </c>
      <c r="J26" s="72"/>
      <c r="K26" s="72"/>
      <c r="L26" s="72"/>
      <c r="M26" s="72"/>
    </row>
    <row r="27" spans="1:13" x14ac:dyDescent="0.3">
      <c r="A27" s="72"/>
      <c r="B27" s="72" t="s">
        <v>196</v>
      </c>
      <c r="C27" s="106">
        <f>NWC!I20</f>
        <v>4808.9300000000021</v>
      </c>
      <c r="D27" s="95">
        <f>NWC!J20</f>
        <v>-1283.1600000000035</v>
      </c>
      <c r="E27" s="95">
        <f>NWC!K20</f>
        <v>-1671.0227679999953</v>
      </c>
      <c r="F27" s="95">
        <f>NWC!L20</f>
        <v>-208.02271910000127</v>
      </c>
      <c r="G27" s="95">
        <f>NWC!M20</f>
        <v>420.39225185099349</v>
      </c>
      <c r="H27" s="95">
        <f>NWC!N20</f>
        <v>-806.80131696680837</v>
      </c>
      <c r="I27" s="95">
        <f>NWC!O20</f>
        <v>853.52252237172797</v>
      </c>
      <c r="J27" s="72"/>
      <c r="K27" s="72"/>
      <c r="L27" s="72"/>
      <c r="M27" s="72"/>
    </row>
    <row r="28" spans="1:13" x14ac:dyDescent="0.3">
      <c r="A28" s="72"/>
      <c r="B28" s="77" t="s">
        <v>197</v>
      </c>
      <c r="C28" s="189">
        <f>C22+C25-C26-C27</f>
        <v>28306.682803562959</v>
      </c>
      <c r="D28" s="119">
        <f t="shared" ref="D28:I28" si="8">D22+D25-D26-D27</f>
        <v>37980.278600000005</v>
      </c>
      <c r="E28" s="119">
        <f t="shared" si="8"/>
        <v>54967.496446320001</v>
      </c>
      <c r="F28" s="119">
        <f t="shared" si="8"/>
        <v>63287.558236744982</v>
      </c>
      <c r="G28" s="119">
        <f t="shared" si="8"/>
        <v>67487.418582458093</v>
      </c>
      <c r="H28" s="119">
        <f t="shared" si="8"/>
        <v>72984.879562199581</v>
      </c>
      <c r="I28" s="119">
        <f t="shared" si="8"/>
        <v>73218.092902322183</v>
      </c>
      <c r="J28" s="72"/>
      <c r="K28" s="72"/>
      <c r="L28" s="72"/>
      <c r="M28" s="72"/>
    </row>
    <row r="29" spans="1:13" x14ac:dyDescent="0.3">
      <c r="A29" s="72"/>
      <c r="B29" s="72" t="s">
        <v>189</v>
      </c>
      <c r="C29" s="112">
        <f>C28/C7</f>
        <v>0.49168625947684708</v>
      </c>
      <c r="D29" s="82">
        <f t="shared" ref="D29:I29" si="9">D28/D7</f>
        <v>0.49611106379643666</v>
      </c>
      <c r="E29" s="82">
        <f t="shared" si="9"/>
        <v>0.49137798806260941</v>
      </c>
      <c r="F29" s="82">
        <f t="shared" si="9"/>
        <v>0.47912485702282021</v>
      </c>
      <c r="G29" s="82">
        <f t="shared" si="9"/>
        <v>0.47950308207253972</v>
      </c>
      <c r="H29" s="82">
        <f t="shared" si="9"/>
        <v>0.50012860288155625</v>
      </c>
      <c r="I29" s="82">
        <f t="shared" si="9"/>
        <v>0.49988273577315945</v>
      </c>
      <c r="J29" s="72"/>
      <c r="K29" s="72"/>
      <c r="L29" s="72"/>
      <c r="M29" s="72"/>
    </row>
    <row r="30" spans="1:13" x14ac:dyDescent="0.3">
      <c r="A30" s="72"/>
      <c r="B30" s="72"/>
      <c r="C30" s="105"/>
      <c r="D30" s="81"/>
      <c r="E30" s="81"/>
      <c r="F30" s="81"/>
      <c r="G30" s="81"/>
      <c r="H30" s="81"/>
      <c r="I30" s="81"/>
      <c r="J30" s="72"/>
      <c r="K30" s="72"/>
      <c r="L30" s="72"/>
      <c r="M30" s="72"/>
    </row>
    <row r="31" spans="1:13" x14ac:dyDescent="0.3">
      <c r="A31" s="72"/>
      <c r="B31" s="131" t="s">
        <v>198</v>
      </c>
      <c r="C31" s="190">
        <f>WACC!I26</f>
        <v>8.4280657155874017E-2</v>
      </c>
      <c r="D31" s="81"/>
      <c r="E31" s="81"/>
      <c r="F31" s="81"/>
      <c r="G31" s="81"/>
      <c r="H31" s="81"/>
      <c r="I31" s="81"/>
      <c r="J31" s="72"/>
      <c r="K31" s="72"/>
      <c r="L31" s="72"/>
      <c r="M31" s="72"/>
    </row>
    <row r="32" spans="1:13" x14ac:dyDescent="0.3">
      <c r="A32" s="72"/>
      <c r="B32" s="72" t="s">
        <v>199</v>
      </c>
      <c r="C32" s="105"/>
      <c r="D32" s="120">
        <v>0.5</v>
      </c>
      <c r="E32" s="120">
        <f>D32+1</f>
        <v>1.5</v>
      </c>
      <c r="F32" s="120">
        <f t="shared" ref="F32:I32" si="10">E32+1</f>
        <v>2.5</v>
      </c>
      <c r="G32" s="120">
        <f t="shared" si="10"/>
        <v>3.5</v>
      </c>
      <c r="H32" s="120">
        <f t="shared" si="10"/>
        <v>4.5</v>
      </c>
      <c r="I32" s="120">
        <f t="shared" si="10"/>
        <v>5.5</v>
      </c>
      <c r="J32" s="72"/>
      <c r="K32" s="72"/>
      <c r="L32" s="72"/>
      <c r="M32" s="72"/>
    </row>
    <row r="33" spans="1:13" x14ac:dyDescent="0.3">
      <c r="A33" s="72"/>
      <c r="B33" s="72" t="s">
        <v>200</v>
      </c>
      <c r="C33" s="105"/>
      <c r="D33" s="121">
        <f>1/(1+$C$31)^D32</f>
        <v>0.96034912461295685</v>
      </c>
      <c r="E33" s="121">
        <f t="shared" ref="E33:I33" si="11">1/(1+$C$31)^E32</f>
        <v>0.88570161080988352</v>
      </c>
      <c r="F33" s="121">
        <f t="shared" si="11"/>
        <v>0.81685641532435527</v>
      </c>
      <c r="G33" s="121">
        <f t="shared" si="11"/>
        <v>0.75336252651321212</v>
      </c>
      <c r="H33" s="121">
        <f t="shared" si="11"/>
        <v>0.69480398966935564</v>
      </c>
      <c r="I33" s="121">
        <f t="shared" si="11"/>
        <v>0.64079718206157388</v>
      </c>
      <c r="J33" s="72"/>
      <c r="K33" s="72"/>
      <c r="L33" s="72"/>
      <c r="M33" s="72"/>
    </row>
    <row r="34" spans="1:13" x14ac:dyDescent="0.3">
      <c r="A34" s="72"/>
      <c r="B34" s="78" t="s">
        <v>201</v>
      </c>
      <c r="C34" s="191"/>
      <c r="D34" s="117">
        <f>D28*D33</f>
        <v>36474.327306066225</v>
      </c>
      <c r="E34" s="117">
        <f t="shared" ref="E34:I34" si="12">E28*E33</f>
        <v>48684.80014469217</v>
      </c>
      <c r="F34" s="117">
        <f t="shared" si="12"/>
        <v>51696.847955898884</v>
      </c>
      <c r="G34" s="117">
        <f t="shared" si="12"/>
        <v>50842.492171135331</v>
      </c>
      <c r="H34" s="117">
        <f t="shared" si="12"/>
        <v>50710.185505353686</v>
      </c>
      <c r="I34" s="117">
        <f t="shared" si="12"/>
        <v>46917.947607730581</v>
      </c>
      <c r="J34" s="72"/>
      <c r="K34" s="72"/>
      <c r="L34" s="72"/>
      <c r="M34" s="72"/>
    </row>
    <row r="35" spans="1:13" x14ac:dyDescent="0.3">
      <c r="A35" s="72"/>
      <c r="B35" s="72"/>
      <c r="C35" s="105"/>
      <c r="D35" s="81"/>
      <c r="E35" s="81"/>
      <c r="F35" s="81"/>
      <c r="G35" s="81"/>
      <c r="H35" s="81"/>
      <c r="I35" s="81"/>
      <c r="J35" s="72"/>
      <c r="K35" s="72"/>
      <c r="L35" s="72"/>
      <c r="M35" s="72"/>
    </row>
    <row r="36" spans="1:13" ht="16.2" thickBot="1" x14ac:dyDescent="0.35">
      <c r="A36" s="72"/>
      <c r="B36" s="114" t="s">
        <v>202</v>
      </c>
      <c r="C36" s="192"/>
      <c r="D36" s="122"/>
      <c r="E36" s="122"/>
      <c r="F36" s="122"/>
      <c r="G36" s="122"/>
      <c r="H36" s="122"/>
      <c r="I36" s="123">
        <f>SUM(D34:I34)</f>
        <v>285326.60069087683</v>
      </c>
      <c r="J36" s="72"/>
      <c r="K36" s="72"/>
      <c r="L36" s="72"/>
      <c r="M36" s="72"/>
    </row>
    <row r="37" spans="1:13" x14ac:dyDescent="0.3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x14ac:dyDescent="0.3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 x14ac:dyDescent="0.3">
      <c r="A39" s="72"/>
      <c r="B39" s="182" t="s">
        <v>218</v>
      </c>
      <c r="C39" s="183"/>
      <c r="D39" s="183"/>
      <c r="E39" s="183"/>
      <c r="F39" s="183"/>
      <c r="G39" s="183"/>
      <c r="H39" s="183"/>
      <c r="I39" s="183"/>
      <c r="J39" s="72"/>
      <c r="K39" s="72"/>
      <c r="L39" s="72"/>
      <c r="M39" s="72"/>
    </row>
    <row r="40" spans="1:13" x14ac:dyDescent="0.3">
      <c r="A40" s="72"/>
      <c r="B40" s="159"/>
      <c r="C40" s="159"/>
      <c r="D40" s="159"/>
      <c r="E40" s="159"/>
      <c r="F40" s="159"/>
      <c r="G40" s="159"/>
      <c r="H40" s="159"/>
      <c r="I40" s="159"/>
      <c r="J40" s="72"/>
      <c r="K40" s="72"/>
      <c r="L40" s="72"/>
      <c r="M40" s="72"/>
    </row>
    <row r="41" spans="1:13" ht="18.600000000000001" customHeight="1" x14ac:dyDescent="0.3">
      <c r="B41" s="160" t="s">
        <v>215</v>
      </c>
      <c r="C41" s="148"/>
      <c r="D41" s="148"/>
      <c r="E41" s="148"/>
      <c r="F41" s="181" t="s">
        <v>219</v>
      </c>
      <c r="G41" s="148"/>
      <c r="H41" s="148"/>
      <c r="I41" s="148"/>
    </row>
    <row r="42" spans="1:13" x14ac:dyDescent="0.3">
      <c r="B42" s="162"/>
      <c r="C42" s="163">
        <v>16</v>
      </c>
      <c r="D42" s="163">
        <v>18</v>
      </c>
      <c r="E42" s="163">
        <v>20</v>
      </c>
      <c r="F42" s="163">
        <v>22</v>
      </c>
      <c r="G42" s="163">
        <v>24</v>
      </c>
      <c r="H42" s="163">
        <v>26</v>
      </c>
      <c r="I42" s="164">
        <v>28</v>
      </c>
    </row>
    <row r="43" spans="1:13" ht="16.2" thickBot="1" x14ac:dyDescent="0.35">
      <c r="B43" s="161">
        <v>7.9000000000000001E-2</v>
      </c>
      <c r="C43" s="173">
        <f t="shared" ref="C43:I49" si="13">($D$28/(1+$B43)^0.5+$E$28/(1+$B43)^1.5+$F$28/(1+$B43)^2.5+$G$28/(1+$B43)^3.5+$H$28/(1+$B43)^4.5+$I$28/(1+$B43)^5.5+$M$6*C$42/(1+$B43)^5.5-$M$14+$M$15)/$M$17</f>
        <v>254.07105789776006</v>
      </c>
      <c r="D43" s="173">
        <f t="shared" si="13"/>
        <v>279.22385849757103</v>
      </c>
      <c r="E43" s="173">
        <f t="shared" si="13"/>
        <v>304.37665909738206</v>
      </c>
      <c r="F43" s="173">
        <f t="shared" si="13"/>
        <v>329.52945969719303</v>
      </c>
      <c r="G43" s="173">
        <f t="shared" si="13"/>
        <v>354.68226029700395</v>
      </c>
      <c r="H43" s="173">
        <f t="shared" si="13"/>
        <v>379.83506089681498</v>
      </c>
      <c r="I43" s="174">
        <f t="shared" si="13"/>
        <v>404.98786149662601</v>
      </c>
    </row>
    <row r="44" spans="1:13" ht="16.2" thickBot="1" x14ac:dyDescent="0.35">
      <c r="B44" s="149">
        <v>8.8999999999999996E-2</v>
      </c>
      <c r="C44" s="175">
        <f t="shared" si="13"/>
        <v>242.38861869995981</v>
      </c>
      <c r="D44" s="165">
        <f t="shared" si="13"/>
        <v>266.29704302362393</v>
      </c>
      <c r="E44" s="166">
        <f t="shared" si="13"/>
        <v>290.20546734728799</v>
      </c>
      <c r="F44" s="166">
        <f t="shared" si="13"/>
        <v>314.11389167095206</v>
      </c>
      <c r="G44" s="166">
        <f t="shared" si="13"/>
        <v>338.02231599461612</v>
      </c>
      <c r="H44" s="167">
        <f t="shared" si="13"/>
        <v>361.93074031828019</v>
      </c>
      <c r="I44" s="180">
        <f t="shared" si="13"/>
        <v>385.83916464194431</v>
      </c>
    </row>
    <row r="45" spans="1:13" x14ac:dyDescent="0.3">
      <c r="B45" s="149">
        <v>9.9000000000000005E-2</v>
      </c>
      <c r="C45" s="176">
        <f t="shared" si="13"/>
        <v>231.35994077717646</v>
      </c>
      <c r="D45" s="168">
        <f t="shared" si="13"/>
        <v>254.0960938943872</v>
      </c>
      <c r="E45" s="153">
        <f t="shared" si="13"/>
        <v>276.83224701159793</v>
      </c>
      <c r="F45" s="151">
        <f t="shared" si="13"/>
        <v>299.56840012880861</v>
      </c>
      <c r="G45" s="156">
        <f t="shared" si="13"/>
        <v>322.30455324601928</v>
      </c>
      <c r="H45" s="172">
        <f t="shared" si="13"/>
        <v>345.04070636323002</v>
      </c>
      <c r="I45" s="180">
        <f t="shared" si="13"/>
        <v>367.77685948044081</v>
      </c>
    </row>
    <row r="46" spans="1:13" x14ac:dyDescent="0.3">
      <c r="B46" s="149">
        <v>0.109</v>
      </c>
      <c r="C46" s="176">
        <f t="shared" si="13"/>
        <v>220.94247300930442</v>
      </c>
      <c r="D46" s="168">
        <f t="shared" si="13"/>
        <v>242.57368182981722</v>
      </c>
      <c r="E46" s="154">
        <f t="shared" si="13"/>
        <v>264.20489065033001</v>
      </c>
      <c r="F46" s="147">
        <f t="shared" si="13"/>
        <v>285.83609947084273</v>
      </c>
      <c r="G46" s="157">
        <f t="shared" si="13"/>
        <v>307.46730829135544</v>
      </c>
      <c r="H46" s="172">
        <f t="shared" si="13"/>
        <v>329.09851711186815</v>
      </c>
      <c r="I46" s="180">
        <f t="shared" si="13"/>
        <v>350.72972593238092</v>
      </c>
    </row>
    <row r="47" spans="1:13" ht="16.2" thickBot="1" x14ac:dyDescent="0.35">
      <c r="B47" s="149">
        <v>0.11899999999999999</v>
      </c>
      <c r="C47" s="176">
        <f t="shared" si="13"/>
        <v>211.09679722889993</v>
      </c>
      <c r="D47" s="168">
        <f t="shared" si="13"/>
        <v>231.6859661996659</v>
      </c>
      <c r="E47" s="155">
        <f t="shared" si="13"/>
        <v>252.27513517043178</v>
      </c>
      <c r="F47" s="152">
        <f t="shared" si="13"/>
        <v>272.86430414119769</v>
      </c>
      <c r="G47" s="158">
        <f t="shared" si="13"/>
        <v>293.4534731119636</v>
      </c>
      <c r="H47" s="172">
        <f t="shared" si="13"/>
        <v>314.04264208272946</v>
      </c>
      <c r="I47" s="180">
        <f t="shared" si="13"/>
        <v>334.63181105349537</v>
      </c>
    </row>
    <row r="48" spans="1:13" ht="16.2" thickBot="1" x14ac:dyDescent="0.35">
      <c r="B48" s="149">
        <v>0.129</v>
      </c>
      <c r="C48" s="176">
        <f t="shared" si="13"/>
        <v>201.78637174183851</v>
      </c>
      <c r="D48" s="169">
        <f t="shared" si="13"/>
        <v>221.39230920782688</v>
      </c>
      <c r="E48" s="170">
        <f t="shared" si="13"/>
        <v>240.99824667381537</v>
      </c>
      <c r="F48" s="170">
        <f t="shared" si="13"/>
        <v>260.60418413980375</v>
      </c>
      <c r="G48" s="170">
        <f t="shared" si="13"/>
        <v>280.21012160579215</v>
      </c>
      <c r="H48" s="171">
        <f t="shared" si="13"/>
        <v>299.8160590717805</v>
      </c>
      <c r="I48" s="180">
        <f t="shared" si="13"/>
        <v>319.42199653776896</v>
      </c>
    </row>
    <row r="49" spans="2:9" x14ac:dyDescent="0.3">
      <c r="B49" s="150">
        <v>0.13900000000000001</v>
      </c>
      <c r="C49" s="177">
        <f t="shared" si="13"/>
        <v>192.97729790224201</v>
      </c>
      <c r="D49" s="178">
        <f t="shared" si="13"/>
        <v>211.65501578207625</v>
      </c>
      <c r="E49" s="178">
        <f t="shared" si="13"/>
        <v>230.33273366191057</v>
      </c>
      <c r="F49" s="178">
        <f t="shared" si="13"/>
        <v>249.0104515417448</v>
      </c>
      <c r="G49" s="178">
        <f t="shared" si="13"/>
        <v>267.688169421579</v>
      </c>
      <c r="H49" s="178">
        <f t="shared" si="13"/>
        <v>286.3658873014133</v>
      </c>
      <c r="I49" s="179">
        <f t="shared" si="13"/>
        <v>305.04360518124753</v>
      </c>
    </row>
    <row r="50" spans="2:9" x14ac:dyDescent="0.3">
      <c r="B50" s="148"/>
      <c r="C50" s="148"/>
      <c r="D50" s="148"/>
      <c r="E50" s="148"/>
      <c r="F50" s="148"/>
      <c r="G50" s="148"/>
      <c r="H50" s="148"/>
      <c r="I50" s="148"/>
    </row>
    <row r="51" spans="2:9" x14ac:dyDescent="0.3">
      <c r="B51" s="148"/>
      <c r="C51" s="148"/>
      <c r="D51" s="148"/>
      <c r="E51" s="148"/>
      <c r="F51" s="148"/>
      <c r="G51" s="148"/>
      <c r="H51" s="148"/>
      <c r="I51" s="148"/>
    </row>
    <row r="52" spans="2:9" x14ac:dyDescent="0.3">
      <c r="B52" s="148"/>
      <c r="C52" s="148"/>
      <c r="D52" s="148"/>
      <c r="E52" s="148"/>
      <c r="F52" s="148"/>
      <c r="G52" s="148"/>
      <c r="H52" s="148"/>
      <c r="I52" s="148"/>
    </row>
    <row r="53" spans="2:9" x14ac:dyDescent="0.3">
      <c r="B53" s="148"/>
      <c r="C53" s="148"/>
      <c r="D53" s="148"/>
      <c r="E53" s="148"/>
      <c r="F53" s="148"/>
      <c r="G53" s="148"/>
      <c r="H53" s="148"/>
      <c r="I53" s="148"/>
    </row>
    <row r="54" spans="2:9" x14ac:dyDescent="0.3">
      <c r="B54" s="148"/>
      <c r="C54" s="148"/>
      <c r="D54" s="148"/>
      <c r="E54" s="148"/>
      <c r="F54" s="148"/>
      <c r="G54" s="148"/>
      <c r="H54" s="148"/>
      <c r="I54" s="148"/>
    </row>
    <row r="55" spans="2:9" x14ac:dyDescent="0.3">
      <c r="B55" s="148"/>
      <c r="C55" s="148"/>
      <c r="D55" s="148"/>
      <c r="E55" s="148"/>
      <c r="F55" s="148"/>
      <c r="G55" s="148"/>
      <c r="I55" s="1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A780-92C3-49C0-811F-4EB3DAEA5443}">
  <dimension ref="A1:O25"/>
  <sheetViews>
    <sheetView showGridLines="0" zoomScaleNormal="100" workbookViewId="0"/>
  </sheetViews>
  <sheetFormatPr defaultRowHeight="15.6" x14ac:dyDescent="0.3"/>
  <cols>
    <col min="1" max="1" width="2.77734375" customWidth="1"/>
    <col min="2" max="2" width="42.5546875" customWidth="1"/>
    <col min="3" max="15" width="15.77734375" customWidth="1"/>
  </cols>
  <sheetData>
    <row r="1" spans="1:15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x14ac:dyDescent="0.3">
      <c r="A2" s="72"/>
      <c r="B2" s="73" t="s">
        <v>180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x14ac:dyDescent="0.3">
      <c r="A3" s="72"/>
      <c r="B3" s="72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x14ac:dyDescent="0.3">
      <c r="A4" s="72"/>
      <c r="B4" s="72"/>
      <c r="C4" s="101" t="s">
        <v>3</v>
      </c>
      <c r="D4" s="102"/>
      <c r="E4" s="102"/>
      <c r="F4" s="102"/>
      <c r="G4" s="102"/>
      <c r="H4" s="102"/>
      <c r="I4" s="102"/>
      <c r="J4" s="101" t="s">
        <v>181</v>
      </c>
      <c r="K4" s="102"/>
      <c r="L4" s="102"/>
      <c r="M4" s="102"/>
      <c r="N4" s="102"/>
      <c r="O4" s="102"/>
    </row>
    <row r="5" spans="1:15" x14ac:dyDescent="0.3">
      <c r="A5" s="72"/>
      <c r="B5" s="90" t="s">
        <v>149</v>
      </c>
      <c r="C5" s="92" t="s">
        <v>185</v>
      </c>
      <c r="D5" s="92" t="s">
        <v>150</v>
      </c>
      <c r="E5" s="92" t="s">
        <v>151</v>
      </c>
      <c r="F5" s="92" t="s">
        <v>152</v>
      </c>
      <c r="G5" s="92" t="s">
        <v>153</v>
      </c>
      <c r="H5" s="92" t="s">
        <v>154</v>
      </c>
      <c r="I5" s="103" t="s">
        <v>155</v>
      </c>
      <c r="J5" s="91" t="s">
        <v>156</v>
      </c>
      <c r="K5" s="91" t="s">
        <v>157</v>
      </c>
      <c r="L5" s="91" t="s">
        <v>158</v>
      </c>
      <c r="M5" s="91" t="s">
        <v>159</v>
      </c>
      <c r="N5" s="91" t="s">
        <v>160</v>
      </c>
      <c r="O5" s="91" t="s">
        <v>161</v>
      </c>
    </row>
    <row r="6" spans="1:15" x14ac:dyDescent="0.3">
      <c r="A6" s="72"/>
      <c r="B6" s="72"/>
      <c r="C6" s="72"/>
      <c r="D6" s="72"/>
      <c r="E6" s="72"/>
      <c r="F6" s="72"/>
      <c r="G6" s="72"/>
      <c r="H6" s="72"/>
      <c r="I6" s="104"/>
      <c r="J6" s="72"/>
      <c r="K6" s="72"/>
      <c r="L6" s="72"/>
      <c r="M6" s="72"/>
      <c r="N6" s="72"/>
      <c r="O6" s="72"/>
    </row>
    <row r="7" spans="1:15" x14ac:dyDescent="0.3">
      <c r="A7" s="72"/>
      <c r="B7" s="73" t="s">
        <v>180</v>
      </c>
      <c r="C7" s="81"/>
      <c r="D7" s="81"/>
      <c r="E7" s="81"/>
      <c r="F7" s="81"/>
      <c r="G7" s="81"/>
      <c r="H7" s="81"/>
      <c r="I7" s="105"/>
      <c r="J7" s="81"/>
      <c r="K7" s="81"/>
      <c r="L7" s="81"/>
      <c r="M7" s="81"/>
      <c r="N7" s="81"/>
      <c r="O7" s="81"/>
    </row>
    <row r="8" spans="1:15" x14ac:dyDescent="0.3">
      <c r="A8" s="72"/>
      <c r="B8" s="72"/>
      <c r="C8" s="81"/>
      <c r="D8" s="81"/>
      <c r="E8" s="81"/>
      <c r="F8" s="81"/>
      <c r="G8" s="81"/>
      <c r="H8" s="81"/>
      <c r="I8" s="105"/>
      <c r="J8" s="81"/>
      <c r="K8" s="81"/>
      <c r="L8" s="81"/>
      <c r="M8" s="81"/>
      <c r="N8" s="81"/>
      <c r="O8" s="81"/>
    </row>
    <row r="9" spans="1:15" x14ac:dyDescent="0.3">
      <c r="A9" s="72"/>
      <c r="B9" s="72" t="s">
        <v>37</v>
      </c>
      <c r="C9" s="95">
        <f>'Balance Sheet'!C11</f>
        <v>2918.96</v>
      </c>
      <c r="D9" s="95">
        <f>'Balance Sheet'!D11</f>
        <v>1972.18</v>
      </c>
      <c r="E9" s="95">
        <f>'Balance Sheet'!E11</f>
        <v>1791.37</v>
      </c>
      <c r="F9" s="95">
        <f>'Balance Sheet'!F11</f>
        <v>2968.97</v>
      </c>
      <c r="G9" s="95">
        <f>'Balance Sheet'!G11</f>
        <v>2985.61</v>
      </c>
      <c r="H9" s="95">
        <f>'Balance Sheet'!H11</f>
        <v>4076.06</v>
      </c>
      <c r="I9" s="106">
        <f>'Balance Sheet'!I11</f>
        <v>6194.72</v>
      </c>
      <c r="J9" s="95">
        <f>'Drivers &amp; Operating Metrics'!J80</f>
        <v>7655.6</v>
      </c>
      <c r="K9" s="95">
        <f>'Drivers &amp; Operating Metrics'!K80</f>
        <v>10627.07791</v>
      </c>
      <c r="L9" s="95">
        <f>'Drivers &amp; Operating Metrics'!L80</f>
        <v>12284.361434699998</v>
      </c>
      <c r="M9" s="95">
        <f>'Drivers &amp; Operating Metrics'!M80</f>
        <v>12667.004445869999</v>
      </c>
      <c r="N9" s="95">
        <f>'Drivers &amp; Operating Metrics'!N80</f>
        <v>12842.035757340242</v>
      </c>
      <c r="O9" s="95">
        <f>'Drivers &amp; Operating Metrics'!O80</f>
        <v>12449.995671627976</v>
      </c>
    </row>
    <row r="10" spans="1:15" x14ac:dyDescent="0.3">
      <c r="A10" s="72"/>
      <c r="B10" s="72" t="s">
        <v>38</v>
      </c>
      <c r="C10" s="95">
        <f>'Balance Sheet'!C12</f>
        <v>782.81</v>
      </c>
      <c r="D10" s="95">
        <f>'Balance Sheet'!D12</f>
        <v>861.17</v>
      </c>
      <c r="E10" s="95">
        <f>'Balance Sheet'!E12</f>
        <v>1121.8800000000001</v>
      </c>
      <c r="F10" s="95">
        <f>'Balance Sheet'!F12</f>
        <v>1932.14</v>
      </c>
      <c r="G10" s="95">
        <f>'Balance Sheet'!G12</f>
        <v>1796.67</v>
      </c>
      <c r="H10" s="95">
        <f>'Balance Sheet'!H12</f>
        <v>1624.52</v>
      </c>
      <c r="I10" s="106">
        <f>'Balance Sheet'!I12</f>
        <v>1968.09</v>
      </c>
      <c r="J10" s="95">
        <f>'Drivers &amp; Operating Metrics'!J86</f>
        <v>2679.46</v>
      </c>
      <c r="K10" s="95">
        <f>'Drivers &amp; Operating Metrics'!K86</f>
        <v>3803.3752520000003</v>
      </c>
      <c r="L10" s="95">
        <f>'Drivers &amp; Operating Metrics'!L86</f>
        <v>4358.9669606999996</v>
      </c>
      <c r="M10" s="95">
        <f>'Drivers &amp; Operating Metrics'!M86</f>
        <v>4503.8238029760005</v>
      </c>
      <c r="N10" s="95">
        <f>'Drivers &amp; Operating Metrics'!N86</f>
        <v>4377.9667354569001</v>
      </c>
      <c r="O10" s="95">
        <f>'Drivers &amp; Operating Metrics'!O86</f>
        <v>4247.6455820848387</v>
      </c>
    </row>
    <row r="11" spans="1:15" x14ac:dyDescent="0.3">
      <c r="A11" s="72"/>
      <c r="B11" s="72" t="s">
        <v>39</v>
      </c>
      <c r="C11" s="95">
        <f>'Balance Sheet'!C13</f>
        <v>652.94000000000005</v>
      </c>
      <c r="D11" s="95">
        <f>'Balance Sheet'!D13</f>
        <v>838.84</v>
      </c>
      <c r="E11" s="95">
        <f>'Balance Sheet'!E13</f>
        <v>912.55</v>
      </c>
      <c r="F11" s="95">
        <f>'Balance Sheet'!F13</f>
        <v>1209.47</v>
      </c>
      <c r="G11" s="95">
        <f>'Balance Sheet'!G13</f>
        <v>1520.26</v>
      </c>
      <c r="H11" s="95">
        <f>'Balance Sheet'!H13</f>
        <v>3757.61</v>
      </c>
      <c r="I11" s="106">
        <f>'Balance Sheet'!I13</f>
        <v>5184.66</v>
      </c>
      <c r="J11" s="96">
        <f>I11</f>
        <v>5184.66</v>
      </c>
      <c r="K11" s="96">
        <f t="shared" ref="K11:O11" si="0">J11</f>
        <v>5184.66</v>
      </c>
      <c r="L11" s="96">
        <f t="shared" si="0"/>
        <v>5184.66</v>
      </c>
      <c r="M11" s="96">
        <f t="shared" si="0"/>
        <v>5184.66</v>
      </c>
      <c r="N11" s="96">
        <f t="shared" si="0"/>
        <v>5184.66</v>
      </c>
      <c r="O11" s="96">
        <f t="shared" si="0"/>
        <v>5184.66</v>
      </c>
    </row>
    <row r="12" spans="1:15" x14ac:dyDescent="0.3">
      <c r="A12" s="72"/>
      <c r="B12" s="78" t="s">
        <v>182</v>
      </c>
      <c r="C12" s="84">
        <f>SUM(C9:C11)</f>
        <v>4354.71</v>
      </c>
      <c r="D12" s="84">
        <f t="shared" ref="D12:O12" si="1">SUM(D9:D11)</f>
        <v>3672.19</v>
      </c>
      <c r="E12" s="84">
        <f t="shared" si="1"/>
        <v>3825.8</v>
      </c>
      <c r="F12" s="84">
        <f t="shared" si="1"/>
        <v>6110.58</v>
      </c>
      <c r="G12" s="84">
        <f t="shared" si="1"/>
        <v>6302.5400000000009</v>
      </c>
      <c r="H12" s="84">
        <f t="shared" si="1"/>
        <v>9458.19</v>
      </c>
      <c r="I12" s="107">
        <f t="shared" si="1"/>
        <v>13347.470000000001</v>
      </c>
      <c r="J12" s="84">
        <f t="shared" si="1"/>
        <v>15519.720000000001</v>
      </c>
      <c r="K12" s="84">
        <f t="shared" si="1"/>
        <v>19615.113162000001</v>
      </c>
      <c r="L12" s="84">
        <f t="shared" si="1"/>
        <v>21827.9883954</v>
      </c>
      <c r="M12" s="84">
        <f t="shared" si="1"/>
        <v>22355.488248845999</v>
      </c>
      <c r="N12" s="84">
        <f t="shared" si="1"/>
        <v>22404.662492797142</v>
      </c>
      <c r="O12" s="84">
        <f t="shared" si="1"/>
        <v>21882.301253712812</v>
      </c>
    </row>
    <row r="13" spans="1:15" x14ac:dyDescent="0.3">
      <c r="A13" s="72"/>
      <c r="B13" s="72"/>
      <c r="C13" s="81"/>
      <c r="D13" s="81"/>
      <c r="E13" s="81"/>
      <c r="F13" s="81"/>
      <c r="G13" s="81"/>
      <c r="H13" s="81"/>
      <c r="I13" s="105"/>
      <c r="J13" s="81"/>
      <c r="K13" s="81"/>
      <c r="L13" s="81"/>
      <c r="M13" s="81"/>
      <c r="N13" s="81"/>
      <c r="O13" s="81"/>
    </row>
    <row r="14" spans="1:15" x14ac:dyDescent="0.3">
      <c r="A14" s="72"/>
      <c r="B14" s="72" t="s">
        <v>50</v>
      </c>
      <c r="C14" s="95">
        <f>'Balance Sheet'!C27</f>
        <v>765.79</v>
      </c>
      <c r="D14" s="95">
        <f>'Balance Sheet'!D27</f>
        <v>717.78</v>
      </c>
      <c r="E14" s="95">
        <f>'Balance Sheet'!E27</f>
        <v>939.37</v>
      </c>
      <c r="F14" s="95">
        <f>'Balance Sheet'!F27</f>
        <v>1001.7</v>
      </c>
      <c r="G14" s="95">
        <f>'Balance Sheet'!G27</f>
        <v>1145.4000000000001</v>
      </c>
      <c r="H14" s="95">
        <f>'Balance Sheet'!H27</f>
        <v>1534.06</v>
      </c>
      <c r="I14" s="106">
        <f>'Balance Sheet'!I27</f>
        <v>1352.52</v>
      </c>
      <c r="J14" s="95">
        <f>'Drivers &amp; Operating Metrics'!J92</f>
        <v>1913.9</v>
      </c>
      <c r="K14" s="95">
        <f>'Drivers &amp; Operating Metrics'!K92</f>
        <v>2796.5994500000002</v>
      </c>
      <c r="L14" s="95">
        <f>'Drivers &amp; Operating Metrics'!L92</f>
        <v>3302.2476975</v>
      </c>
      <c r="M14" s="95">
        <f>'Drivers &amp; Operating Metrics'!M92</f>
        <v>3518.6123460750005</v>
      </c>
      <c r="N14" s="95">
        <f>'Drivers &amp; Operating Metrics'!N92</f>
        <v>3648.3056128807507</v>
      </c>
      <c r="O14" s="95">
        <f>'Drivers &amp; Operating Metrics'!O92</f>
        <v>3661.7634328317577</v>
      </c>
    </row>
    <row r="15" spans="1:15" x14ac:dyDescent="0.3">
      <c r="A15" s="72"/>
      <c r="B15" s="72" t="s">
        <v>51</v>
      </c>
      <c r="C15" s="95">
        <f>'Balance Sheet'!C28</f>
        <v>574.12</v>
      </c>
      <c r="D15" s="95">
        <f>'Balance Sheet'!D28</f>
        <v>752.98</v>
      </c>
      <c r="E15" s="95">
        <f>'Balance Sheet'!E28</f>
        <v>922.07</v>
      </c>
      <c r="F15" s="95">
        <f>'Balance Sheet'!F28</f>
        <v>1206.46</v>
      </c>
      <c r="G15" s="95">
        <f>'Balance Sheet'!G28</f>
        <v>885.08</v>
      </c>
      <c r="H15" s="95">
        <f>'Balance Sheet'!H28</f>
        <v>1819.27</v>
      </c>
      <c r="I15" s="106">
        <f>'Balance Sheet'!I28</f>
        <v>1845.84</v>
      </c>
      <c r="J15" s="96">
        <f>I15</f>
        <v>1845.84</v>
      </c>
      <c r="K15" s="96">
        <f t="shared" ref="K15:O15" si="2">J15</f>
        <v>1845.84</v>
      </c>
      <c r="L15" s="96">
        <f t="shared" si="2"/>
        <v>1845.84</v>
      </c>
      <c r="M15" s="96">
        <f t="shared" si="2"/>
        <v>1845.84</v>
      </c>
      <c r="N15" s="96">
        <f t="shared" si="2"/>
        <v>1845.84</v>
      </c>
      <c r="O15" s="96">
        <f t="shared" si="2"/>
        <v>1845.84</v>
      </c>
    </row>
    <row r="16" spans="1:15" x14ac:dyDescent="0.3">
      <c r="A16" s="72"/>
      <c r="B16" s="72" t="s">
        <v>53</v>
      </c>
      <c r="C16" s="95">
        <f>'Balance Sheet'!C30</f>
        <v>2343.0500000000002</v>
      </c>
      <c r="D16" s="95">
        <f>'Balance Sheet'!D30</f>
        <v>3289.26</v>
      </c>
      <c r="E16" s="95">
        <f>'Balance Sheet'!E30</f>
        <v>3320.66</v>
      </c>
      <c r="F16" s="95">
        <f>'Balance Sheet'!F30</f>
        <v>4428.37</v>
      </c>
      <c r="G16" s="95">
        <f>'Balance Sheet'!G30</f>
        <v>3457.02</v>
      </c>
      <c r="H16" s="95">
        <f>'Balance Sheet'!H30</f>
        <v>10885.17</v>
      </c>
      <c r="I16" s="106">
        <f>'Balance Sheet'!I30</f>
        <v>10120.49</v>
      </c>
      <c r="J16" s="95">
        <f>'Drivers &amp; Operating Metrics'!J98</f>
        <v>13014.52</v>
      </c>
      <c r="K16" s="95">
        <f>'Drivers &amp; Operating Metrics'!K98</f>
        <v>17898.23648</v>
      </c>
      <c r="L16" s="95">
        <f>'Drivers &amp; Operating Metrics'!L98</f>
        <v>19813.486184999998</v>
      </c>
      <c r="M16" s="95">
        <f>'Drivers &amp; Operating Metrics'!M98</f>
        <v>19704.229138020004</v>
      </c>
      <c r="N16" s="95">
        <f>'Drivers &amp; Operating Metrics'!N98</f>
        <v>20430.511432132203</v>
      </c>
      <c r="O16" s="95">
        <f>'Drivers &amp; Operating Metrics'!O98</f>
        <v>19041.169850725139</v>
      </c>
    </row>
    <row r="17" spans="1:15" x14ac:dyDescent="0.3">
      <c r="A17" s="72"/>
      <c r="B17" s="78" t="s">
        <v>183</v>
      </c>
      <c r="C17" s="84">
        <f>SUM(C14:C16)</f>
        <v>3682.96</v>
      </c>
      <c r="D17" s="84">
        <f t="shared" ref="D17:O17" si="3">SUM(D14:D16)</f>
        <v>4760.0200000000004</v>
      </c>
      <c r="E17" s="84">
        <f t="shared" si="3"/>
        <v>5182.1000000000004</v>
      </c>
      <c r="F17" s="84">
        <f t="shared" si="3"/>
        <v>6636.53</v>
      </c>
      <c r="G17" s="84">
        <f t="shared" si="3"/>
        <v>5487.5</v>
      </c>
      <c r="H17" s="84">
        <f t="shared" si="3"/>
        <v>14238.5</v>
      </c>
      <c r="I17" s="107">
        <f t="shared" si="3"/>
        <v>13318.849999999999</v>
      </c>
      <c r="J17" s="84">
        <f t="shared" si="3"/>
        <v>16774.260000000002</v>
      </c>
      <c r="K17" s="84">
        <f t="shared" si="3"/>
        <v>22540.675929999998</v>
      </c>
      <c r="L17" s="84">
        <f t="shared" si="3"/>
        <v>24961.573882499997</v>
      </c>
      <c r="M17" s="84">
        <f t="shared" si="3"/>
        <v>25068.681484095003</v>
      </c>
      <c r="N17" s="84">
        <f t="shared" si="3"/>
        <v>25924.657045012955</v>
      </c>
      <c r="O17" s="84">
        <f t="shared" si="3"/>
        <v>24548.773283556897</v>
      </c>
    </row>
    <row r="18" spans="1:15" x14ac:dyDescent="0.3">
      <c r="A18" s="72"/>
      <c r="B18" s="72"/>
      <c r="C18" s="81"/>
      <c r="D18" s="81"/>
      <c r="E18" s="81"/>
      <c r="F18" s="81"/>
      <c r="G18" s="81"/>
      <c r="H18" s="81"/>
      <c r="I18" s="105"/>
      <c r="J18" s="81"/>
      <c r="K18" s="81"/>
      <c r="L18" s="81"/>
      <c r="M18" s="81"/>
      <c r="N18" s="81"/>
      <c r="O18" s="81"/>
    </row>
    <row r="19" spans="1:15" ht="16.2" thickBot="1" x14ac:dyDescent="0.35">
      <c r="A19" s="72"/>
      <c r="B19" s="77" t="s">
        <v>180</v>
      </c>
      <c r="C19" s="97">
        <f>C12-C17</f>
        <v>671.75</v>
      </c>
      <c r="D19" s="97">
        <f t="shared" ref="D19:O19" si="4">D12-D17</f>
        <v>-1087.8300000000004</v>
      </c>
      <c r="E19" s="97">
        <f t="shared" si="4"/>
        <v>-1356.3000000000002</v>
      </c>
      <c r="F19" s="97">
        <f t="shared" si="4"/>
        <v>-525.94999999999982</v>
      </c>
      <c r="G19" s="97">
        <f t="shared" si="4"/>
        <v>815.04000000000087</v>
      </c>
      <c r="H19" s="97">
        <f t="shared" si="4"/>
        <v>-4780.3099999999995</v>
      </c>
      <c r="I19" s="108">
        <f t="shared" si="4"/>
        <v>28.620000000002619</v>
      </c>
      <c r="J19" s="97">
        <f t="shared" si="4"/>
        <v>-1254.5400000000009</v>
      </c>
      <c r="K19" s="97">
        <f t="shared" si="4"/>
        <v>-2925.5627679999961</v>
      </c>
      <c r="L19" s="97">
        <f t="shared" si="4"/>
        <v>-3133.5854870999974</v>
      </c>
      <c r="M19" s="97">
        <f t="shared" si="4"/>
        <v>-2713.1932352490039</v>
      </c>
      <c r="N19" s="97">
        <f t="shared" si="4"/>
        <v>-3519.9945522158123</v>
      </c>
      <c r="O19" s="97">
        <f t="shared" si="4"/>
        <v>-2666.4720298440843</v>
      </c>
    </row>
    <row r="20" spans="1:15" ht="16.2" thickBot="1" x14ac:dyDescent="0.35">
      <c r="A20" s="72"/>
      <c r="B20" s="94" t="s">
        <v>184</v>
      </c>
      <c r="C20" s="98"/>
      <c r="D20" s="99">
        <f>D19-C19</f>
        <v>-1759.5800000000004</v>
      </c>
      <c r="E20" s="99">
        <f t="shared" ref="E20:O20" si="5">E19-D19</f>
        <v>-268.4699999999998</v>
      </c>
      <c r="F20" s="99">
        <f t="shared" si="5"/>
        <v>830.35000000000036</v>
      </c>
      <c r="G20" s="99">
        <f t="shared" si="5"/>
        <v>1340.9900000000007</v>
      </c>
      <c r="H20" s="99">
        <f t="shared" si="5"/>
        <v>-5595.35</v>
      </c>
      <c r="I20" s="109">
        <f t="shared" si="5"/>
        <v>4808.9300000000021</v>
      </c>
      <c r="J20" s="99">
        <f t="shared" si="5"/>
        <v>-1283.1600000000035</v>
      </c>
      <c r="K20" s="99">
        <f t="shared" si="5"/>
        <v>-1671.0227679999953</v>
      </c>
      <c r="L20" s="99">
        <f t="shared" si="5"/>
        <v>-208.02271910000127</v>
      </c>
      <c r="M20" s="99">
        <f t="shared" si="5"/>
        <v>420.39225185099349</v>
      </c>
      <c r="N20" s="99">
        <f t="shared" si="5"/>
        <v>-806.80131696680837</v>
      </c>
      <c r="O20" s="99">
        <f t="shared" si="5"/>
        <v>853.52252237172797</v>
      </c>
    </row>
    <row r="21" spans="1:15" x14ac:dyDescent="0.3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</row>
    <row r="22" spans="1:15" x14ac:dyDescent="0.3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x14ac:dyDescent="0.3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  <row r="24" spans="1:15" x14ac:dyDescent="0.3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1:15" x14ac:dyDescent="0.3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4EC6-D96B-4D76-9FC1-A8EEEFA857AC}">
  <dimension ref="B2:J26"/>
  <sheetViews>
    <sheetView showGridLines="0" workbookViewId="0"/>
  </sheetViews>
  <sheetFormatPr defaultRowHeight="15.6" x14ac:dyDescent="0.3"/>
  <cols>
    <col min="1" max="1" width="2.77734375" customWidth="1"/>
    <col min="2" max="2" width="27.77734375" bestFit="1" customWidth="1"/>
    <col min="7" max="7" width="24.88671875" bestFit="1" customWidth="1"/>
  </cols>
  <sheetData>
    <row r="2" spans="2:10" ht="17.399999999999999" x14ac:dyDescent="0.35">
      <c r="B2" s="34" t="s">
        <v>124</v>
      </c>
    </row>
    <row r="3" spans="2:10" x14ac:dyDescent="0.3">
      <c r="B3" s="35" t="s">
        <v>125</v>
      </c>
    </row>
    <row r="5" spans="2:10" x14ac:dyDescent="0.3">
      <c r="B5" s="36" t="s">
        <v>126</v>
      </c>
      <c r="C5" s="37"/>
      <c r="D5" s="37"/>
      <c r="E5" s="38"/>
      <c r="G5" s="39" t="s">
        <v>127</v>
      </c>
      <c r="H5" s="37"/>
      <c r="I5" s="37"/>
      <c r="J5" s="38"/>
    </row>
    <row r="6" spans="2:10" x14ac:dyDescent="0.3">
      <c r="B6" s="40" t="s">
        <v>128</v>
      </c>
      <c r="E6" s="41">
        <v>4.2257719999999999E-2</v>
      </c>
    </row>
    <row r="7" spans="2:10" x14ac:dyDescent="0.3">
      <c r="B7" s="42" t="s">
        <v>129</v>
      </c>
      <c r="E7" s="43">
        <v>3.4668480000000002E-2</v>
      </c>
      <c r="G7" s="40" t="s">
        <v>128</v>
      </c>
      <c r="H7" s="44"/>
      <c r="I7" s="125">
        <f>E6</f>
        <v>4.2257719999999999E-2</v>
      </c>
      <c r="J7" s="45">
        <f>E6</f>
        <v>4.2257719999999999E-2</v>
      </c>
    </row>
    <row r="8" spans="2:10" x14ac:dyDescent="0.3">
      <c r="B8" s="42" t="s">
        <v>130</v>
      </c>
      <c r="E8" s="46">
        <v>1.25</v>
      </c>
      <c r="G8" s="42" t="s">
        <v>131</v>
      </c>
      <c r="H8" s="47"/>
      <c r="I8" s="126">
        <v>1.4999999999999999E-2</v>
      </c>
      <c r="J8" s="43">
        <v>7.0000000000000001E-3</v>
      </c>
    </row>
    <row r="9" spans="2:10" x14ac:dyDescent="0.3">
      <c r="B9" s="42" t="s">
        <v>132</v>
      </c>
      <c r="E9" s="43">
        <v>0.1721543301</v>
      </c>
      <c r="G9" s="48" t="s">
        <v>133</v>
      </c>
      <c r="H9" s="47"/>
      <c r="I9" s="127">
        <f>I7+I8</f>
        <v>5.7257719999999998E-2</v>
      </c>
      <c r="J9" s="49">
        <f>J7+J8</f>
        <v>4.9257719999999998E-2</v>
      </c>
    </row>
    <row r="10" spans="2:10" x14ac:dyDescent="0.3">
      <c r="B10" s="42" t="s">
        <v>134</v>
      </c>
      <c r="E10" s="50">
        <f>Control!F11</f>
        <v>319.20999999999998</v>
      </c>
      <c r="G10" s="42" t="s">
        <v>132</v>
      </c>
      <c r="H10" s="47"/>
      <c r="I10" s="127">
        <f>E9</f>
        <v>0.1721543301</v>
      </c>
      <c r="J10" s="51">
        <f>E9</f>
        <v>0.1721543301</v>
      </c>
    </row>
    <row r="11" spans="2:10" x14ac:dyDescent="0.3">
      <c r="B11" s="42" t="s">
        <v>135</v>
      </c>
      <c r="E11" s="50">
        <f>Control!F12</f>
        <v>4730</v>
      </c>
      <c r="G11" s="52" t="s">
        <v>136</v>
      </c>
      <c r="H11" s="53"/>
      <c r="I11" s="128">
        <f>I9*(1-I10)</f>
        <v>4.7400555570346628E-2</v>
      </c>
      <c r="J11" s="54">
        <f>J9*(1-J10)</f>
        <v>4.0777790211146622E-2</v>
      </c>
    </row>
    <row r="12" spans="2:10" x14ac:dyDescent="0.3">
      <c r="B12" s="55" t="s">
        <v>137</v>
      </c>
      <c r="C12" s="56"/>
      <c r="D12" s="56"/>
      <c r="E12" s="57">
        <f>'Balance Sheet'!I34</f>
        <v>53740.13</v>
      </c>
    </row>
    <row r="13" spans="2:10" x14ac:dyDescent="0.3">
      <c r="G13" s="39" t="s">
        <v>138</v>
      </c>
      <c r="H13" s="37"/>
      <c r="I13" s="129"/>
      <c r="J13" s="58"/>
    </row>
    <row r="14" spans="2:10" x14ac:dyDescent="0.3">
      <c r="I14" s="130"/>
    </row>
    <row r="15" spans="2:10" x14ac:dyDescent="0.3">
      <c r="G15" s="40" t="s">
        <v>128</v>
      </c>
      <c r="H15" s="44"/>
      <c r="I15" s="125">
        <f>E6</f>
        <v>4.2257719999999999E-2</v>
      </c>
      <c r="J15" s="45">
        <f>E6</f>
        <v>4.2257719999999999E-2</v>
      </c>
    </row>
    <row r="16" spans="2:10" x14ac:dyDescent="0.3">
      <c r="G16" s="42" t="s">
        <v>129</v>
      </c>
      <c r="H16" s="47"/>
      <c r="I16" s="127">
        <f>E7</f>
        <v>3.4668480000000002E-2</v>
      </c>
      <c r="J16" s="51">
        <f>E7</f>
        <v>3.4668480000000002E-2</v>
      </c>
    </row>
    <row r="17" spans="2:10" x14ac:dyDescent="0.3">
      <c r="G17" s="42" t="s">
        <v>130</v>
      </c>
      <c r="H17" s="47"/>
      <c r="I17" s="127">
        <f>E8</f>
        <v>1.25</v>
      </c>
      <c r="J17" s="59">
        <f>E8</f>
        <v>1.25</v>
      </c>
    </row>
    <row r="18" spans="2:10" x14ac:dyDescent="0.3">
      <c r="G18" s="52" t="s">
        <v>139</v>
      </c>
      <c r="H18" s="53"/>
      <c r="I18" s="128">
        <f>I15+I17*I16</f>
        <v>8.5593320000000001E-2</v>
      </c>
      <c r="J18" s="54">
        <f>J15+J17*J16</f>
        <v>8.5593320000000001E-2</v>
      </c>
    </row>
    <row r="21" spans="2:10" x14ac:dyDescent="0.3">
      <c r="B21" s="60" t="s">
        <v>140</v>
      </c>
      <c r="C21" s="61"/>
      <c r="D21" s="61"/>
      <c r="E21" s="61"/>
      <c r="F21" s="61"/>
      <c r="G21" s="61" t="s">
        <v>141</v>
      </c>
      <c r="H21" s="62" t="s">
        <v>142</v>
      </c>
      <c r="I21" s="61"/>
      <c r="J21" s="63" t="s">
        <v>143</v>
      </c>
    </row>
    <row r="22" spans="2:10" x14ac:dyDescent="0.3">
      <c r="B22" s="40" t="s">
        <v>137</v>
      </c>
      <c r="G22" s="64">
        <f>E12</f>
        <v>53740.13</v>
      </c>
      <c r="H22" s="65">
        <f>G22/(G22+G23)</f>
        <v>3.436941168644022E-2</v>
      </c>
      <c r="J22" s="45">
        <f>J11</f>
        <v>4.0777790211146622E-2</v>
      </c>
    </row>
    <row r="23" spans="2:10" x14ac:dyDescent="0.3">
      <c r="B23" s="42" t="s">
        <v>144</v>
      </c>
      <c r="G23" s="64">
        <f>E10*E11</f>
        <v>1509863.2999999998</v>
      </c>
      <c r="H23" s="66">
        <f>G23/(G23+G22)</f>
        <v>0.96563058831355986</v>
      </c>
      <c r="J23" s="51">
        <f>J18</f>
        <v>8.5593320000000001E-2</v>
      </c>
    </row>
    <row r="24" spans="2:10" x14ac:dyDescent="0.3">
      <c r="B24" s="67" t="s">
        <v>145</v>
      </c>
      <c r="C24" s="68"/>
      <c r="D24" s="68"/>
      <c r="E24" s="68"/>
      <c r="F24" s="68"/>
      <c r="G24" s="69">
        <f>G23+G22</f>
        <v>1563603.4299999997</v>
      </c>
      <c r="H24" s="70">
        <f>H23+H22</f>
        <v>1</v>
      </c>
      <c r="I24" s="68"/>
      <c r="J24" s="71">
        <f>J22*H22+J23*H23</f>
        <v>8.4053036606740975E-2</v>
      </c>
    </row>
    <row r="26" spans="2:10" x14ac:dyDescent="0.3">
      <c r="B26" s="2" t="s">
        <v>215</v>
      </c>
      <c r="G26" s="2" t="s">
        <v>215</v>
      </c>
      <c r="I26" s="124">
        <f>H22*I11+H23*I18</f>
        <v>8.4280657155874017E-2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93310-DF97-452D-9031-5A611BB8F2BE}">
  <dimension ref="A1:I60"/>
  <sheetViews>
    <sheetView showGridLines="0" zoomScaleNormal="100" workbookViewId="0"/>
  </sheetViews>
  <sheetFormatPr defaultRowHeight="15.6" x14ac:dyDescent="0.3"/>
  <cols>
    <col min="1" max="1" width="2.77734375" customWidth="1"/>
    <col min="2" max="2" width="46.33203125" customWidth="1"/>
    <col min="3" max="9" width="17.5546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7.399999999999999" x14ac:dyDescent="0.35">
      <c r="A2" s="1"/>
      <c r="B2" s="3" t="s">
        <v>0</v>
      </c>
      <c r="C2" s="4"/>
      <c r="D2" s="4"/>
      <c r="E2" s="4"/>
      <c r="F2" s="4"/>
      <c r="G2" s="4"/>
      <c r="H2" s="4"/>
      <c r="I2" s="4"/>
    </row>
    <row r="3" spans="1:9" x14ac:dyDescent="0.3">
      <c r="A3" s="1"/>
      <c r="B3" s="5" t="s">
        <v>1</v>
      </c>
      <c r="C3" s="4"/>
      <c r="D3" s="4"/>
      <c r="E3" s="4"/>
      <c r="F3" s="4"/>
      <c r="G3" s="4"/>
      <c r="H3" s="4"/>
      <c r="I3" s="4"/>
    </row>
    <row r="4" spans="1:9" x14ac:dyDescent="0.3">
      <c r="A4" s="1"/>
      <c r="B4" s="6" t="s">
        <v>2</v>
      </c>
      <c r="C4" s="4"/>
      <c r="D4" s="4"/>
      <c r="E4" s="4"/>
      <c r="F4" s="4"/>
      <c r="G4" s="4"/>
      <c r="H4" s="4"/>
      <c r="I4" s="4"/>
    </row>
    <row r="5" spans="1:9" x14ac:dyDescent="0.3">
      <c r="A5" s="1"/>
      <c r="B5" s="4"/>
      <c r="C5" s="4"/>
      <c r="D5" s="4"/>
      <c r="E5" s="4"/>
      <c r="F5" s="4"/>
      <c r="G5" s="4"/>
      <c r="H5" s="4"/>
      <c r="I5" s="4"/>
    </row>
    <row r="6" spans="1:9" x14ac:dyDescent="0.3">
      <c r="A6" s="1"/>
      <c r="B6" s="4"/>
      <c r="C6" s="17" t="s">
        <v>3</v>
      </c>
      <c r="D6" s="18"/>
      <c r="E6" s="18"/>
      <c r="F6" s="18"/>
      <c r="G6" s="18"/>
      <c r="H6" s="18"/>
      <c r="I6" s="18"/>
    </row>
    <row r="7" spans="1:9" ht="16.2" thickBot="1" x14ac:dyDescent="0.35">
      <c r="A7" s="1"/>
      <c r="B7" s="4"/>
      <c r="C7" s="7">
        <v>2019</v>
      </c>
      <c r="D7" s="7">
        <v>2020</v>
      </c>
      <c r="E7" s="7">
        <v>2021</v>
      </c>
      <c r="F7" s="7">
        <v>2022</v>
      </c>
      <c r="G7" s="7">
        <v>2023</v>
      </c>
      <c r="H7" s="7">
        <v>2024</v>
      </c>
      <c r="I7" s="7">
        <v>2025</v>
      </c>
    </row>
    <row r="8" spans="1:9" x14ac:dyDescent="0.3">
      <c r="A8" s="1"/>
      <c r="B8" s="4"/>
      <c r="C8" s="4"/>
      <c r="D8" s="4"/>
      <c r="E8" s="4"/>
      <c r="F8" s="4"/>
      <c r="G8" s="4"/>
      <c r="H8" s="4"/>
      <c r="I8" s="4"/>
    </row>
    <row r="9" spans="1:9" x14ac:dyDescent="0.3">
      <c r="A9" s="1"/>
      <c r="B9" s="4" t="s">
        <v>4</v>
      </c>
      <c r="C9" s="8">
        <v>16121.37</v>
      </c>
      <c r="D9" s="8">
        <v>15498.49</v>
      </c>
      <c r="E9" s="8">
        <v>17500.259999999998</v>
      </c>
      <c r="F9" s="8">
        <v>24629.31</v>
      </c>
      <c r="G9" s="8">
        <v>26004.35</v>
      </c>
      <c r="H9" s="8">
        <v>27925.759999999998</v>
      </c>
      <c r="I9" s="8">
        <v>40413.07</v>
      </c>
    </row>
    <row r="10" spans="1:9" x14ac:dyDescent="0.3">
      <c r="A10" s="1"/>
      <c r="B10" s="4" t="s">
        <v>5</v>
      </c>
      <c r="C10" s="8">
        <v>3986.52</v>
      </c>
      <c r="D10" s="8">
        <v>5736.26</v>
      </c>
      <c r="E10" s="8">
        <v>5499.94</v>
      </c>
      <c r="F10" s="8">
        <v>6491.71</v>
      </c>
      <c r="G10" s="8">
        <v>7391.72</v>
      </c>
      <c r="H10" s="8">
        <v>19514.64</v>
      </c>
      <c r="I10" s="8">
        <v>17157.55</v>
      </c>
    </row>
    <row r="11" spans="1:9" x14ac:dyDescent="0.3">
      <c r="A11" s="1"/>
      <c r="B11" s="16" t="s">
        <v>6</v>
      </c>
      <c r="C11" s="9">
        <f>C9+C10</f>
        <v>20107.89</v>
      </c>
      <c r="D11" s="9">
        <f t="shared" ref="D11:I11" si="0">D9+D10</f>
        <v>21234.75</v>
      </c>
      <c r="E11" s="9">
        <f t="shared" si="0"/>
        <v>23000.199999999997</v>
      </c>
      <c r="F11" s="9">
        <f t="shared" si="0"/>
        <v>31121.02</v>
      </c>
      <c r="G11" s="9">
        <f t="shared" si="0"/>
        <v>33396.07</v>
      </c>
      <c r="H11" s="9">
        <f t="shared" si="0"/>
        <v>47440.399999999994</v>
      </c>
      <c r="I11" s="9">
        <f t="shared" si="0"/>
        <v>57570.619999999995</v>
      </c>
    </row>
    <row r="12" spans="1:9" x14ac:dyDescent="0.3">
      <c r="A12" s="1"/>
      <c r="B12" s="4" t="s">
        <v>7</v>
      </c>
      <c r="C12" s="8">
        <v>8999.92</v>
      </c>
      <c r="D12" s="8">
        <v>9219.98</v>
      </c>
      <c r="E12" s="8">
        <v>8886.7099999999991</v>
      </c>
      <c r="F12" s="8">
        <v>10411.48</v>
      </c>
      <c r="G12" s="8">
        <v>10376.19</v>
      </c>
      <c r="H12" s="8">
        <v>17536.96</v>
      </c>
      <c r="I12" s="8">
        <v>18557.009999999998</v>
      </c>
    </row>
    <row r="13" spans="1:9" x14ac:dyDescent="0.3">
      <c r="A13" s="1"/>
      <c r="B13" s="16" t="s">
        <v>8</v>
      </c>
      <c r="C13" s="9">
        <f>C11-C12</f>
        <v>11107.97</v>
      </c>
      <c r="D13" s="9">
        <f t="shared" ref="D13:I13" si="1">D11-D12</f>
        <v>12014.77</v>
      </c>
      <c r="E13" s="9">
        <f t="shared" si="1"/>
        <v>14113.489999999998</v>
      </c>
      <c r="F13" s="9">
        <f t="shared" si="1"/>
        <v>20709.54</v>
      </c>
      <c r="G13" s="9">
        <f t="shared" si="1"/>
        <v>23019.879999999997</v>
      </c>
      <c r="H13" s="9">
        <f t="shared" si="1"/>
        <v>29903.439999999995</v>
      </c>
      <c r="I13" s="9">
        <f t="shared" si="1"/>
        <v>39013.61</v>
      </c>
    </row>
    <row r="14" spans="1:9" x14ac:dyDescent="0.3">
      <c r="A14" s="1"/>
      <c r="B14" s="4"/>
      <c r="C14" s="10"/>
      <c r="D14" s="10"/>
      <c r="E14" s="10"/>
      <c r="F14" s="10"/>
      <c r="G14" s="10"/>
      <c r="H14" s="10"/>
      <c r="I14" s="10"/>
    </row>
    <row r="15" spans="1:9" x14ac:dyDescent="0.3">
      <c r="A15" s="1"/>
      <c r="B15" s="5" t="s">
        <v>9</v>
      </c>
      <c r="C15" s="10"/>
      <c r="D15" s="10"/>
      <c r="E15" s="10"/>
      <c r="F15" s="10"/>
      <c r="G15" s="10"/>
      <c r="H15" s="10"/>
      <c r="I15" s="10"/>
    </row>
    <row r="16" spans="1:9" x14ac:dyDescent="0.3">
      <c r="A16" s="1"/>
      <c r="B16" s="4" t="s">
        <v>10</v>
      </c>
      <c r="C16" s="8">
        <v>4178.72</v>
      </c>
      <c r="D16" s="8">
        <v>4416.2</v>
      </c>
      <c r="E16" s="8">
        <v>4067.14</v>
      </c>
      <c r="F16" s="8">
        <v>4610.5600000000004</v>
      </c>
      <c r="G16" s="8">
        <v>4897.67</v>
      </c>
      <c r="H16" s="8">
        <v>8563.81</v>
      </c>
      <c r="I16" s="8">
        <v>9891.73</v>
      </c>
    </row>
    <row r="17" spans="1:9" x14ac:dyDescent="0.3">
      <c r="A17" s="1"/>
      <c r="B17" s="4" t="s">
        <v>11</v>
      </c>
      <c r="C17" s="8">
        <v>1520.75</v>
      </c>
      <c r="D17" s="8">
        <v>1720.08</v>
      </c>
      <c r="E17" s="8">
        <v>1128.6400000000001</v>
      </c>
      <c r="F17" s="8">
        <v>1295.3399999999999</v>
      </c>
      <c r="G17" s="8">
        <v>1484.31</v>
      </c>
      <c r="H17" s="8">
        <v>4561.54</v>
      </c>
      <c r="I17" s="8">
        <v>3794.67</v>
      </c>
    </row>
    <row r="18" spans="1:9" x14ac:dyDescent="0.3">
      <c r="A18" s="1"/>
      <c r="B18" s="4" t="s">
        <v>12</v>
      </c>
      <c r="C18" s="8">
        <v>1688.93</v>
      </c>
      <c r="D18" s="8">
        <v>2134.3200000000002</v>
      </c>
      <c r="E18" s="8">
        <v>1655.68</v>
      </c>
      <c r="F18" s="8">
        <v>1417.19</v>
      </c>
      <c r="G18" s="8">
        <v>1299.7</v>
      </c>
      <c r="H18" s="8">
        <v>2984</v>
      </c>
      <c r="I18" s="8">
        <v>1830.2</v>
      </c>
    </row>
    <row r="19" spans="1:9" x14ac:dyDescent="0.3">
      <c r="A19" s="1"/>
      <c r="B19" s="4" t="s">
        <v>13</v>
      </c>
      <c r="C19" s="8">
        <v>654.92999999999995</v>
      </c>
      <c r="D19" s="8">
        <v>176.01</v>
      </c>
      <c r="E19" s="8">
        <v>124.01</v>
      </c>
      <c r="F19" s="8">
        <v>53.43</v>
      </c>
      <c r="G19" s="8">
        <v>227.49</v>
      </c>
      <c r="H19" s="8">
        <v>1410.13</v>
      </c>
      <c r="I19" s="8">
        <v>532.57000000000005</v>
      </c>
    </row>
    <row r="20" spans="1:9" x14ac:dyDescent="0.3">
      <c r="A20" s="1"/>
      <c r="B20" s="16" t="s">
        <v>14</v>
      </c>
      <c r="C20" s="9">
        <f>SUM(C16:C19)</f>
        <v>8043.3300000000008</v>
      </c>
      <c r="D20" s="9">
        <f t="shared" ref="D20:I20" si="2">SUM(D16:D19)</f>
        <v>8446.61</v>
      </c>
      <c r="E20" s="9">
        <f t="shared" si="2"/>
        <v>6975.47</v>
      </c>
      <c r="F20" s="9">
        <f t="shared" si="2"/>
        <v>7376.52</v>
      </c>
      <c r="G20" s="9">
        <f t="shared" si="2"/>
        <v>7909.1699999999992</v>
      </c>
      <c r="H20" s="9">
        <f t="shared" si="2"/>
        <v>17519.48</v>
      </c>
      <c r="I20" s="9">
        <f t="shared" si="2"/>
        <v>16049.17</v>
      </c>
    </row>
    <row r="21" spans="1:9" x14ac:dyDescent="0.3">
      <c r="A21" s="1"/>
      <c r="B21" s="4"/>
      <c r="C21" s="10"/>
      <c r="D21" s="10"/>
      <c r="E21" s="10"/>
      <c r="F21" s="10"/>
      <c r="G21" s="10"/>
      <c r="H21" s="10"/>
      <c r="I21" s="10"/>
    </row>
    <row r="22" spans="1:9" x14ac:dyDescent="0.3">
      <c r="A22" s="1"/>
      <c r="B22" s="16" t="s">
        <v>15</v>
      </c>
      <c r="C22" s="9">
        <f>C13-C20</f>
        <v>3064.6399999999985</v>
      </c>
      <c r="D22" s="9">
        <f t="shared" ref="D22:I22" si="3">D13-D20</f>
        <v>3568.16</v>
      </c>
      <c r="E22" s="9">
        <f t="shared" si="3"/>
        <v>7138.0199999999977</v>
      </c>
      <c r="F22" s="9">
        <f t="shared" si="3"/>
        <v>13333.02</v>
      </c>
      <c r="G22" s="9">
        <f t="shared" si="3"/>
        <v>15110.71</v>
      </c>
      <c r="H22" s="9">
        <f t="shared" si="3"/>
        <v>12383.959999999995</v>
      </c>
      <c r="I22" s="9">
        <f t="shared" si="3"/>
        <v>22964.440000000002</v>
      </c>
    </row>
    <row r="23" spans="1:9" x14ac:dyDescent="0.3">
      <c r="A23" s="1"/>
      <c r="B23" s="4"/>
      <c r="C23" s="10"/>
      <c r="D23" s="10"/>
      <c r="E23" s="10"/>
      <c r="F23" s="10"/>
      <c r="G23" s="10"/>
      <c r="H23" s="10"/>
      <c r="I23" s="10"/>
    </row>
    <row r="24" spans="1:9" x14ac:dyDescent="0.3">
      <c r="A24" s="1"/>
      <c r="B24" s="5" t="s">
        <v>16</v>
      </c>
      <c r="C24" s="10"/>
      <c r="D24" s="10"/>
      <c r="E24" s="10"/>
      <c r="F24" s="10"/>
      <c r="G24" s="10"/>
      <c r="H24" s="10"/>
      <c r="I24" s="10"/>
    </row>
    <row r="25" spans="1:9" x14ac:dyDescent="0.3">
      <c r="A25" s="1"/>
      <c r="B25" s="4" t="s">
        <v>17</v>
      </c>
      <c r="C25" s="8">
        <v>-1284.94</v>
      </c>
      <c r="D25" s="8">
        <v>-1579.63</v>
      </c>
      <c r="E25" s="8">
        <v>-1579.43</v>
      </c>
      <c r="F25" s="8">
        <v>-1628.08</v>
      </c>
      <c r="G25" s="8">
        <v>-1512.28</v>
      </c>
      <c r="H25" s="8">
        <v>-3636.17</v>
      </c>
      <c r="I25" s="8">
        <v>-2892.63</v>
      </c>
    </row>
    <row r="26" spans="1:9" x14ac:dyDescent="0.3">
      <c r="A26" s="1"/>
      <c r="B26" s="4" t="s">
        <v>18</v>
      </c>
      <c r="C26" s="8">
        <v>201.11</v>
      </c>
      <c r="D26" s="8">
        <v>183.12</v>
      </c>
      <c r="E26" s="8">
        <v>109.76</v>
      </c>
      <c r="F26" s="8">
        <v>-50.61</v>
      </c>
      <c r="G26" s="8">
        <v>477.37</v>
      </c>
      <c r="H26" s="8">
        <v>373.46</v>
      </c>
      <c r="I26" s="8">
        <v>410.02</v>
      </c>
    </row>
    <row r="27" spans="1:9" x14ac:dyDescent="0.3">
      <c r="A27" s="1"/>
      <c r="B27" s="16" t="s">
        <v>19</v>
      </c>
      <c r="C27" s="9">
        <f>C25+C26</f>
        <v>-1083.83</v>
      </c>
      <c r="D27" s="9">
        <f t="shared" ref="D27:I27" si="4">D25+D26</f>
        <v>-1396.5100000000002</v>
      </c>
      <c r="E27" s="9">
        <f t="shared" si="4"/>
        <v>-1469.67</v>
      </c>
      <c r="F27" s="9">
        <f t="shared" si="4"/>
        <v>-1678.6899999999998</v>
      </c>
      <c r="G27" s="9">
        <f t="shared" si="4"/>
        <v>-1034.9099999999999</v>
      </c>
      <c r="H27" s="9">
        <f t="shared" si="4"/>
        <v>-3262.71</v>
      </c>
      <c r="I27" s="9">
        <f t="shared" si="4"/>
        <v>-2482.61</v>
      </c>
    </row>
    <row r="28" spans="1:9" x14ac:dyDescent="0.3">
      <c r="A28" s="1"/>
      <c r="B28" s="4"/>
      <c r="C28" s="10"/>
      <c r="D28" s="10"/>
      <c r="E28" s="10"/>
      <c r="F28" s="10"/>
      <c r="G28" s="10"/>
      <c r="H28" s="10"/>
      <c r="I28" s="10"/>
    </row>
    <row r="29" spans="1:9" x14ac:dyDescent="0.3">
      <c r="A29" s="1"/>
      <c r="B29" s="16" t="s">
        <v>20</v>
      </c>
      <c r="C29" s="9">
        <f>C22+C27</f>
        <v>1980.8099999999986</v>
      </c>
      <c r="D29" s="9">
        <f t="shared" ref="D29:I29" si="5">D22+D27</f>
        <v>2171.6499999999996</v>
      </c>
      <c r="E29" s="9">
        <f t="shared" si="5"/>
        <v>5668.3499999999976</v>
      </c>
      <c r="F29" s="9">
        <f t="shared" si="5"/>
        <v>11654.33</v>
      </c>
      <c r="G29" s="9">
        <f t="shared" si="5"/>
        <v>14075.8</v>
      </c>
      <c r="H29" s="9">
        <f t="shared" si="5"/>
        <v>9121.2499999999964</v>
      </c>
      <c r="I29" s="9">
        <f t="shared" si="5"/>
        <v>20481.830000000002</v>
      </c>
    </row>
    <row r="30" spans="1:9" x14ac:dyDescent="0.3">
      <c r="A30" s="1"/>
      <c r="B30" s="4" t="s">
        <v>21</v>
      </c>
      <c r="C30" s="8">
        <v>-453.82</v>
      </c>
      <c r="D30" s="8">
        <v>-460.47</v>
      </c>
      <c r="E30" s="8">
        <v>24.3</v>
      </c>
      <c r="F30" s="8">
        <v>880.12</v>
      </c>
      <c r="G30" s="8">
        <v>946.34</v>
      </c>
      <c r="H30" s="8">
        <v>3447.6</v>
      </c>
      <c r="I30" s="8">
        <v>-357.75</v>
      </c>
    </row>
    <row r="31" spans="1:9" x14ac:dyDescent="0.3">
      <c r="A31" s="1"/>
      <c r="B31" s="16" t="s">
        <v>22</v>
      </c>
      <c r="C31" s="9">
        <f>C29-C30</f>
        <v>2434.6299999999987</v>
      </c>
      <c r="D31" s="9">
        <f t="shared" ref="D31:I31" si="6">D29-D30</f>
        <v>2632.12</v>
      </c>
      <c r="E31" s="9">
        <f t="shared" si="6"/>
        <v>5644.0499999999975</v>
      </c>
      <c r="F31" s="9">
        <f t="shared" si="6"/>
        <v>10774.21</v>
      </c>
      <c r="G31" s="9">
        <f t="shared" si="6"/>
        <v>13129.46</v>
      </c>
      <c r="H31" s="9">
        <f t="shared" si="6"/>
        <v>5673.649999999996</v>
      </c>
      <c r="I31" s="9">
        <f t="shared" si="6"/>
        <v>20839.580000000002</v>
      </c>
    </row>
    <row r="32" spans="1:9" x14ac:dyDescent="0.3">
      <c r="A32" s="1"/>
      <c r="B32" s="4"/>
      <c r="C32" s="10"/>
      <c r="D32" s="10"/>
      <c r="E32" s="10"/>
      <c r="F32" s="10"/>
      <c r="G32" s="10"/>
      <c r="H32" s="10"/>
      <c r="I32" s="10"/>
    </row>
    <row r="33" spans="1:9" x14ac:dyDescent="0.3">
      <c r="A33" s="1"/>
      <c r="B33" s="5" t="s">
        <v>23</v>
      </c>
      <c r="C33" s="10"/>
      <c r="D33" s="10"/>
      <c r="E33" s="10"/>
      <c r="F33" s="10"/>
      <c r="G33" s="10"/>
      <c r="H33" s="10"/>
      <c r="I33" s="10"/>
    </row>
    <row r="34" spans="1:9" x14ac:dyDescent="0.3">
      <c r="A34" s="1"/>
      <c r="B34" s="4" t="s">
        <v>24</v>
      </c>
      <c r="C34" s="11">
        <v>0.6</v>
      </c>
      <c r="D34" s="11">
        <v>0.59</v>
      </c>
      <c r="E34" s="11">
        <v>1.32</v>
      </c>
      <c r="F34" s="11">
        <v>2.57</v>
      </c>
      <c r="G34" s="11">
        <v>3.16</v>
      </c>
      <c r="H34" s="11">
        <v>1.17</v>
      </c>
      <c r="I34" s="11">
        <v>4.42</v>
      </c>
    </row>
    <row r="35" spans="1:9" x14ac:dyDescent="0.3">
      <c r="A35" s="1"/>
      <c r="B35" s="4" t="s">
        <v>25</v>
      </c>
      <c r="C35" s="11">
        <v>0.56999999999999995</v>
      </c>
      <c r="D35" s="11">
        <v>0.56000000000000005</v>
      </c>
      <c r="E35" s="11">
        <v>1.26</v>
      </c>
      <c r="F35" s="11">
        <v>2.4900000000000002</v>
      </c>
      <c r="G35" s="11">
        <v>3.07</v>
      </c>
      <c r="H35" s="11">
        <v>1.1299999999999999</v>
      </c>
      <c r="I35" s="11">
        <v>4.3</v>
      </c>
    </row>
    <row r="36" spans="1:9" x14ac:dyDescent="0.3">
      <c r="A36" s="1"/>
      <c r="B36" s="4"/>
      <c r="C36" s="10"/>
      <c r="D36" s="10"/>
      <c r="E36" s="10"/>
      <c r="F36" s="10"/>
      <c r="G36" s="10"/>
      <c r="H36" s="10"/>
      <c r="I36" s="10"/>
    </row>
    <row r="37" spans="1:9" x14ac:dyDescent="0.3">
      <c r="A37" s="1"/>
      <c r="B37" s="5" t="s">
        <v>26</v>
      </c>
      <c r="C37" s="10"/>
      <c r="D37" s="10"/>
      <c r="E37" s="10"/>
      <c r="F37" s="10"/>
      <c r="G37" s="10"/>
      <c r="H37" s="10"/>
      <c r="I37" s="10"/>
    </row>
    <row r="38" spans="1:9" x14ac:dyDescent="0.3">
      <c r="A38" s="1"/>
      <c r="B38" s="4" t="s">
        <v>27</v>
      </c>
      <c r="C38" s="12">
        <v>3980</v>
      </c>
      <c r="D38" s="12">
        <v>4020</v>
      </c>
      <c r="E38" s="12">
        <v>4100</v>
      </c>
      <c r="F38" s="12">
        <v>4090</v>
      </c>
      <c r="G38" s="12">
        <v>4150</v>
      </c>
      <c r="H38" s="12">
        <v>4624</v>
      </c>
      <c r="I38" s="12">
        <v>4712</v>
      </c>
    </row>
    <row r="39" spans="1:9" x14ac:dyDescent="0.3">
      <c r="A39" s="1"/>
      <c r="B39" s="4" t="s">
        <v>28</v>
      </c>
      <c r="C39" s="12">
        <v>4190</v>
      </c>
      <c r="D39" s="12">
        <v>4210</v>
      </c>
      <c r="E39" s="12">
        <v>4290</v>
      </c>
      <c r="F39" s="12">
        <v>4230</v>
      </c>
      <c r="G39" s="12">
        <v>4270</v>
      </c>
      <c r="H39" s="12">
        <v>4778</v>
      </c>
      <c r="I39" s="12">
        <v>4853</v>
      </c>
    </row>
    <row r="40" spans="1:9" x14ac:dyDescent="0.3">
      <c r="A40" s="1"/>
      <c r="B40" s="4"/>
      <c r="C40" s="10"/>
      <c r="D40" s="10"/>
      <c r="E40" s="10"/>
      <c r="F40" s="10"/>
      <c r="G40" s="10"/>
      <c r="H40" s="10"/>
      <c r="I40" s="10"/>
    </row>
    <row r="41" spans="1:9" x14ac:dyDescent="0.3">
      <c r="A41" s="1"/>
      <c r="B41" s="5" t="s">
        <v>29</v>
      </c>
      <c r="C41" s="10"/>
      <c r="D41" s="10"/>
      <c r="E41" s="10"/>
      <c r="F41" s="10"/>
      <c r="G41" s="10"/>
      <c r="H41" s="10"/>
      <c r="I41" s="10"/>
    </row>
    <row r="42" spans="1:9" x14ac:dyDescent="0.3">
      <c r="A42" s="1"/>
      <c r="B42" s="4" t="s">
        <v>30</v>
      </c>
      <c r="C42" s="8">
        <v>5168.2299999999996</v>
      </c>
      <c r="D42" s="8">
        <v>6138.06</v>
      </c>
      <c r="E42" s="8">
        <v>5061.71</v>
      </c>
      <c r="F42" s="8">
        <v>4671.4799999999996</v>
      </c>
      <c r="G42" s="8">
        <v>3575.58</v>
      </c>
      <c r="H42" s="8">
        <v>9207.7099999999991</v>
      </c>
      <c r="I42" s="8">
        <v>7907.43</v>
      </c>
    </row>
    <row r="43" spans="1:9" x14ac:dyDescent="0.3">
      <c r="A43" s="1"/>
      <c r="B43" s="4" t="s">
        <v>31</v>
      </c>
      <c r="C43" s="8">
        <v>1944.32</v>
      </c>
      <c r="D43" s="8">
        <v>1756.52</v>
      </c>
      <c r="E43" s="8">
        <v>1427.77</v>
      </c>
      <c r="F43" s="8">
        <v>1436.87</v>
      </c>
      <c r="G43" s="8">
        <v>2024.15</v>
      </c>
      <c r="H43" s="8">
        <v>5280.86</v>
      </c>
      <c r="I43" s="8">
        <v>6819.77</v>
      </c>
    </row>
    <row r="44" spans="1:9" x14ac:dyDescent="0.3">
      <c r="A44" s="1"/>
      <c r="B44" s="16" t="s">
        <v>32</v>
      </c>
      <c r="C44" s="9">
        <f>C22+C42</f>
        <v>8232.869999999999</v>
      </c>
      <c r="D44" s="9">
        <f t="shared" ref="D44:I44" si="7">D22+D42</f>
        <v>9706.2200000000012</v>
      </c>
      <c r="E44" s="9">
        <f t="shared" si="7"/>
        <v>12199.729999999998</v>
      </c>
      <c r="F44" s="9">
        <f t="shared" si="7"/>
        <v>18004.5</v>
      </c>
      <c r="G44" s="9">
        <f t="shared" si="7"/>
        <v>18686.29</v>
      </c>
      <c r="H44" s="9">
        <f t="shared" si="7"/>
        <v>21591.669999999995</v>
      </c>
      <c r="I44" s="9">
        <f t="shared" si="7"/>
        <v>30871.870000000003</v>
      </c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5E0DE-CA5E-471E-8250-D8D4058D843D}">
  <dimension ref="A1:I70"/>
  <sheetViews>
    <sheetView showGridLines="0" workbookViewId="0"/>
  </sheetViews>
  <sheetFormatPr defaultRowHeight="15.6" x14ac:dyDescent="0.3"/>
  <cols>
    <col min="1" max="1" width="2.77734375" customWidth="1"/>
    <col min="2" max="2" width="46.33203125" customWidth="1"/>
    <col min="3" max="9" width="17.5546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7.399999999999999" x14ac:dyDescent="0.35">
      <c r="A2" s="1"/>
      <c r="B2" s="3" t="s">
        <v>0</v>
      </c>
      <c r="C2" s="4"/>
      <c r="D2" s="4"/>
      <c r="E2" s="4"/>
      <c r="F2" s="4"/>
      <c r="G2" s="4"/>
      <c r="H2" s="4"/>
      <c r="I2" s="4"/>
    </row>
    <row r="3" spans="1:9" x14ac:dyDescent="0.3">
      <c r="A3" s="1"/>
      <c r="B3" s="5" t="s">
        <v>33</v>
      </c>
      <c r="C3" s="4"/>
      <c r="D3" s="4"/>
      <c r="E3" s="4"/>
      <c r="F3" s="4"/>
      <c r="G3" s="4"/>
      <c r="H3" s="4"/>
      <c r="I3" s="4"/>
    </row>
    <row r="4" spans="1:9" x14ac:dyDescent="0.3">
      <c r="A4" s="1"/>
      <c r="B4" s="6" t="s">
        <v>2</v>
      </c>
      <c r="C4" s="4"/>
      <c r="D4" s="4"/>
      <c r="E4" s="4"/>
      <c r="F4" s="4"/>
      <c r="G4" s="4"/>
      <c r="H4" s="4"/>
      <c r="I4" s="4"/>
    </row>
    <row r="5" spans="1:9" x14ac:dyDescent="0.3">
      <c r="A5" s="1"/>
      <c r="B5" s="4"/>
      <c r="C5" s="4"/>
      <c r="D5" s="4"/>
      <c r="E5" s="4"/>
      <c r="F5" s="4"/>
      <c r="G5" s="4"/>
      <c r="H5" s="4"/>
      <c r="I5" s="4"/>
    </row>
    <row r="6" spans="1:9" x14ac:dyDescent="0.3">
      <c r="A6" s="1"/>
      <c r="B6" s="4"/>
      <c r="C6" s="17" t="s">
        <v>3</v>
      </c>
      <c r="D6" s="18"/>
      <c r="E6" s="18"/>
      <c r="F6" s="18"/>
      <c r="G6" s="18"/>
      <c r="H6" s="18"/>
      <c r="I6" s="18"/>
    </row>
    <row r="7" spans="1:9" ht="16.2" thickBot="1" x14ac:dyDescent="0.35">
      <c r="A7" s="1"/>
      <c r="B7" s="4"/>
      <c r="C7" s="7">
        <v>2019</v>
      </c>
      <c r="D7" s="7">
        <v>2020</v>
      </c>
      <c r="E7" s="7">
        <v>2021</v>
      </c>
      <c r="F7" s="7">
        <v>2022</v>
      </c>
      <c r="G7" s="7">
        <v>2023</v>
      </c>
      <c r="H7" s="7">
        <v>2024</v>
      </c>
      <c r="I7" s="7">
        <v>2025</v>
      </c>
    </row>
    <row r="8" spans="1:9" x14ac:dyDescent="0.3">
      <c r="A8" s="1"/>
      <c r="B8" s="5" t="s">
        <v>34</v>
      </c>
      <c r="C8" s="4"/>
      <c r="D8" s="4"/>
      <c r="E8" s="4"/>
      <c r="F8" s="4"/>
      <c r="G8" s="4"/>
      <c r="H8" s="4"/>
      <c r="I8" s="4"/>
    </row>
    <row r="9" spans="1:9" x14ac:dyDescent="0.3">
      <c r="A9" s="1"/>
      <c r="B9" s="5" t="s">
        <v>35</v>
      </c>
      <c r="C9" s="4"/>
      <c r="D9" s="4"/>
      <c r="E9" s="4"/>
      <c r="F9" s="4"/>
      <c r="G9" s="4"/>
      <c r="H9" s="4"/>
      <c r="I9" s="4"/>
    </row>
    <row r="10" spans="1:9" x14ac:dyDescent="0.3">
      <c r="A10" s="1"/>
      <c r="B10" s="4" t="s">
        <v>36</v>
      </c>
      <c r="C10" s="8">
        <v>4527.5600000000004</v>
      </c>
      <c r="D10" s="8">
        <v>6540.74</v>
      </c>
      <c r="E10" s="8">
        <v>10520.75</v>
      </c>
      <c r="F10" s="8">
        <v>12462.06</v>
      </c>
      <c r="G10" s="8">
        <v>13431.45</v>
      </c>
      <c r="H10" s="8">
        <v>8628.39</v>
      </c>
      <c r="I10" s="8">
        <v>14026.33</v>
      </c>
    </row>
    <row r="11" spans="1:9" x14ac:dyDescent="0.3">
      <c r="A11" s="1"/>
      <c r="B11" s="4" t="s">
        <v>37</v>
      </c>
      <c r="C11" s="8">
        <v>2918.96</v>
      </c>
      <c r="D11" s="8">
        <v>1972.18</v>
      </c>
      <c r="E11" s="8">
        <v>1791.37</v>
      </c>
      <c r="F11" s="8">
        <v>2968.97</v>
      </c>
      <c r="G11" s="8">
        <v>2985.61</v>
      </c>
      <c r="H11" s="8">
        <v>4076.06</v>
      </c>
      <c r="I11" s="8">
        <v>6194.72</v>
      </c>
    </row>
    <row r="12" spans="1:9" x14ac:dyDescent="0.3">
      <c r="A12" s="1"/>
      <c r="B12" s="4" t="s">
        <v>38</v>
      </c>
      <c r="C12" s="8">
        <v>782.81</v>
      </c>
      <c r="D12" s="8">
        <v>861.17</v>
      </c>
      <c r="E12" s="8">
        <v>1121.8800000000001</v>
      </c>
      <c r="F12" s="8">
        <v>1932.14</v>
      </c>
      <c r="G12" s="8">
        <v>1796.67</v>
      </c>
      <c r="H12" s="8">
        <v>1624.52</v>
      </c>
      <c r="I12" s="8">
        <v>1968.09</v>
      </c>
    </row>
    <row r="13" spans="1:9" x14ac:dyDescent="0.3">
      <c r="A13" s="1"/>
      <c r="B13" s="4" t="s">
        <v>39</v>
      </c>
      <c r="C13" s="8">
        <v>652.94000000000005</v>
      </c>
      <c r="D13" s="8">
        <v>838.84</v>
      </c>
      <c r="E13" s="8">
        <v>912.55</v>
      </c>
      <c r="F13" s="8">
        <v>1209.47</v>
      </c>
      <c r="G13" s="8">
        <v>1520.26</v>
      </c>
      <c r="H13" s="8">
        <v>3757.61</v>
      </c>
      <c r="I13" s="8">
        <v>5184.66</v>
      </c>
    </row>
    <row r="14" spans="1:9" x14ac:dyDescent="0.3">
      <c r="A14" s="1"/>
      <c r="B14" s="16" t="s">
        <v>40</v>
      </c>
      <c r="C14" s="9">
        <v>8882.26</v>
      </c>
      <c r="D14" s="9">
        <v>10212.93</v>
      </c>
      <c r="E14" s="9">
        <v>14346.56</v>
      </c>
      <c r="F14" s="9">
        <v>18572.650000000001</v>
      </c>
      <c r="G14" s="9">
        <v>19733.98</v>
      </c>
      <c r="H14" s="9">
        <v>18086.580000000002</v>
      </c>
      <c r="I14" s="9">
        <v>27373.79</v>
      </c>
    </row>
    <row r="15" spans="1:9" x14ac:dyDescent="0.3">
      <c r="A15" s="1"/>
      <c r="B15" s="4"/>
      <c r="C15" s="10"/>
      <c r="D15" s="10"/>
      <c r="E15" s="10"/>
      <c r="F15" s="10"/>
      <c r="G15" s="10"/>
      <c r="H15" s="10"/>
      <c r="I15" s="10"/>
    </row>
    <row r="16" spans="1:9" x14ac:dyDescent="0.3">
      <c r="A16" s="1"/>
      <c r="B16" s="5" t="s">
        <v>41</v>
      </c>
      <c r="C16" s="10"/>
      <c r="D16" s="10"/>
      <c r="E16" s="10"/>
      <c r="F16" s="10"/>
      <c r="G16" s="10"/>
      <c r="H16" s="10"/>
      <c r="I16" s="10"/>
    </row>
    <row r="17" spans="1:9" x14ac:dyDescent="0.3">
      <c r="A17" s="1"/>
      <c r="B17" s="4" t="s">
        <v>42</v>
      </c>
      <c r="C17" s="8">
        <v>2297.37</v>
      </c>
      <c r="D17" s="8">
        <v>2154.1999999999998</v>
      </c>
      <c r="E17" s="8">
        <v>2030.97</v>
      </c>
      <c r="F17" s="8">
        <v>2231.25</v>
      </c>
      <c r="G17" s="8">
        <v>2039</v>
      </c>
      <c r="H17" s="8">
        <v>2326.9299999999998</v>
      </c>
      <c r="I17" s="8">
        <v>2193.5100000000002</v>
      </c>
    </row>
    <row r="18" spans="1:9" x14ac:dyDescent="0.3">
      <c r="A18" s="1"/>
      <c r="B18" s="4" t="s">
        <v>43</v>
      </c>
      <c r="C18" s="8">
        <v>32883.26</v>
      </c>
      <c r="D18" s="8">
        <v>37303.160000000003</v>
      </c>
      <c r="E18" s="8">
        <v>37583.379999999997</v>
      </c>
      <c r="F18" s="8">
        <v>43775.81</v>
      </c>
      <c r="G18" s="8">
        <v>41322.370000000003</v>
      </c>
      <c r="H18" s="8">
        <v>90338.74</v>
      </c>
      <c r="I18" s="8">
        <v>84793.47</v>
      </c>
    </row>
    <row r="19" spans="1:9" x14ac:dyDescent="0.3">
      <c r="A19" s="1"/>
      <c r="B19" s="4" t="s">
        <v>44</v>
      </c>
      <c r="C19" s="8">
        <v>15722.42</v>
      </c>
      <c r="D19" s="8">
        <v>14408.86</v>
      </c>
      <c r="E19" s="8">
        <v>9838.2800000000007</v>
      </c>
      <c r="F19" s="8">
        <v>7137.38</v>
      </c>
      <c r="G19" s="8">
        <v>3660.54</v>
      </c>
      <c r="H19" s="8">
        <v>37458.92</v>
      </c>
      <c r="I19" s="8">
        <v>27980.69</v>
      </c>
    </row>
    <row r="20" spans="1:9" x14ac:dyDescent="0.3">
      <c r="A20" s="1"/>
      <c r="B20" s="4" t="s">
        <v>45</v>
      </c>
      <c r="C20" s="8">
        <v>665.48</v>
      </c>
      <c r="D20" s="8">
        <v>1116.17</v>
      </c>
      <c r="E20" s="8">
        <v>1567.34</v>
      </c>
      <c r="F20" s="8">
        <v>1803.67</v>
      </c>
      <c r="G20" s="8">
        <v>2215.0700000000002</v>
      </c>
      <c r="H20" s="8">
        <v>4682.4799999999996</v>
      </c>
      <c r="I20" s="8">
        <v>5995.31</v>
      </c>
    </row>
    <row r="21" spans="1:9" x14ac:dyDescent="0.3">
      <c r="A21" s="1"/>
      <c r="B21" s="16" t="s">
        <v>46</v>
      </c>
      <c r="C21" s="9">
        <v>51568.52</v>
      </c>
      <c r="D21" s="9">
        <v>54982.39</v>
      </c>
      <c r="E21" s="9">
        <v>51019.98</v>
      </c>
      <c r="F21" s="9">
        <v>54948.1</v>
      </c>
      <c r="G21" s="9">
        <v>49236.97</v>
      </c>
      <c r="H21" s="9">
        <v>134807.07</v>
      </c>
      <c r="I21" s="9">
        <v>120962.97</v>
      </c>
    </row>
    <row r="22" spans="1:9" x14ac:dyDescent="0.3">
      <c r="A22" s="1"/>
      <c r="B22" s="4"/>
      <c r="C22" s="10"/>
      <c r="D22" s="10"/>
      <c r="E22" s="10"/>
      <c r="F22" s="10"/>
      <c r="G22" s="10"/>
      <c r="H22" s="10"/>
      <c r="I22" s="10"/>
    </row>
    <row r="23" spans="1:9" x14ac:dyDescent="0.3">
      <c r="A23" s="1"/>
      <c r="B23" s="16" t="s">
        <v>47</v>
      </c>
      <c r="C23" s="9">
        <f>C14+C21</f>
        <v>60450.78</v>
      </c>
      <c r="D23" s="9">
        <f t="shared" ref="D23:I23" si="0">D14+D21</f>
        <v>65195.32</v>
      </c>
      <c r="E23" s="9">
        <f t="shared" si="0"/>
        <v>65366.54</v>
      </c>
      <c r="F23" s="9">
        <f t="shared" si="0"/>
        <v>73520.75</v>
      </c>
      <c r="G23" s="9">
        <f t="shared" si="0"/>
        <v>68970.95</v>
      </c>
      <c r="H23" s="9">
        <f t="shared" si="0"/>
        <v>152893.65000000002</v>
      </c>
      <c r="I23" s="9">
        <f t="shared" si="0"/>
        <v>148336.76</v>
      </c>
    </row>
    <row r="24" spans="1:9" x14ac:dyDescent="0.3">
      <c r="A24" s="1"/>
      <c r="B24" s="4"/>
      <c r="C24" s="10"/>
      <c r="D24" s="10"/>
      <c r="E24" s="10"/>
      <c r="F24" s="10"/>
      <c r="G24" s="10"/>
      <c r="H24" s="10"/>
      <c r="I24" s="10"/>
    </row>
    <row r="25" spans="1:9" x14ac:dyDescent="0.3">
      <c r="A25" s="1"/>
      <c r="B25" s="5" t="s">
        <v>48</v>
      </c>
      <c r="C25" s="10"/>
      <c r="D25" s="10"/>
      <c r="E25" s="10"/>
      <c r="F25" s="10"/>
      <c r="G25" s="10"/>
      <c r="H25" s="10"/>
      <c r="I25" s="10"/>
    </row>
    <row r="26" spans="1:9" x14ac:dyDescent="0.3">
      <c r="A26" s="1"/>
      <c r="B26" s="5" t="s">
        <v>49</v>
      </c>
      <c r="C26" s="10"/>
      <c r="D26" s="10"/>
      <c r="E26" s="10"/>
      <c r="F26" s="10"/>
      <c r="G26" s="10"/>
      <c r="H26" s="10"/>
      <c r="I26" s="10"/>
    </row>
    <row r="27" spans="1:9" x14ac:dyDescent="0.3">
      <c r="A27" s="1"/>
      <c r="B27" s="4" t="s">
        <v>50</v>
      </c>
      <c r="C27" s="8">
        <v>765.79</v>
      </c>
      <c r="D27" s="8">
        <v>717.78</v>
      </c>
      <c r="E27" s="8">
        <v>939.37</v>
      </c>
      <c r="F27" s="8">
        <v>1001.7</v>
      </c>
      <c r="G27" s="8">
        <v>1145.4000000000001</v>
      </c>
      <c r="H27" s="8">
        <v>1534.06</v>
      </c>
      <c r="I27" s="8">
        <v>1352.52</v>
      </c>
    </row>
    <row r="28" spans="1:9" x14ac:dyDescent="0.3">
      <c r="A28" s="1"/>
      <c r="B28" s="4" t="s">
        <v>51</v>
      </c>
      <c r="C28" s="8">
        <v>574.12</v>
      </c>
      <c r="D28" s="8">
        <v>752.98</v>
      </c>
      <c r="E28" s="8">
        <v>922.07</v>
      </c>
      <c r="F28" s="8">
        <v>1206.46</v>
      </c>
      <c r="G28" s="8">
        <v>885.08</v>
      </c>
      <c r="H28" s="8">
        <v>1819.27</v>
      </c>
      <c r="I28" s="8">
        <v>1845.84</v>
      </c>
    </row>
    <row r="29" spans="1:9" x14ac:dyDescent="0.3">
      <c r="A29" s="1"/>
      <c r="B29" s="4" t="s">
        <v>52</v>
      </c>
      <c r="C29" s="8">
        <v>2496.1999999999998</v>
      </c>
      <c r="D29" s="8">
        <v>710.05</v>
      </c>
      <c r="E29" s="8">
        <v>250.84</v>
      </c>
      <c r="F29" s="8">
        <v>441.63</v>
      </c>
      <c r="G29" s="8">
        <v>1522.15</v>
      </c>
      <c r="H29" s="8">
        <v>1173.1600000000001</v>
      </c>
      <c r="I29" s="8">
        <v>2732.78</v>
      </c>
    </row>
    <row r="30" spans="1:9" x14ac:dyDescent="0.3">
      <c r="A30" s="1"/>
      <c r="B30" s="4" t="s">
        <v>53</v>
      </c>
      <c r="C30" s="8">
        <v>2343.0500000000002</v>
      </c>
      <c r="D30" s="8">
        <v>3289.26</v>
      </c>
      <c r="E30" s="8">
        <v>3320.66</v>
      </c>
      <c r="F30" s="8">
        <v>4428.37</v>
      </c>
      <c r="G30" s="8">
        <v>3457.02</v>
      </c>
      <c r="H30" s="8">
        <v>10885.17</v>
      </c>
      <c r="I30" s="8">
        <v>10120.49</v>
      </c>
    </row>
    <row r="31" spans="1:9" x14ac:dyDescent="0.3">
      <c r="A31" s="1"/>
      <c r="B31" s="16" t="s">
        <v>54</v>
      </c>
      <c r="C31" s="9">
        <v>6179.16</v>
      </c>
      <c r="D31" s="9">
        <v>5470.08</v>
      </c>
      <c r="E31" s="9">
        <v>5432.94</v>
      </c>
      <c r="F31" s="9">
        <v>7078.16</v>
      </c>
      <c r="G31" s="9">
        <v>7009.65</v>
      </c>
      <c r="H31" s="9">
        <v>15411.66</v>
      </c>
      <c r="I31" s="9">
        <v>16051.64</v>
      </c>
    </row>
    <row r="32" spans="1:9" x14ac:dyDescent="0.3">
      <c r="A32" s="1"/>
      <c r="B32" s="4"/>
      <c r="C32" s="10"/>
      <c r="D32" s="10"/>
      <c r="E32" s="10"/>
      <c r="F32" s="10"/>
      <c r="G32" s="10"/>
      <c r="H32" s="10"/>
      <c r="I32" s="10"/>
    </row>
    <row r="33" spans="1:9" x14ac:dyDescent="0.3">
      <c r="A33" s="1"/>
      <c r="B33" s="5" t="s">
        <v>55</v>
      </c>
      <c r="C33" s="10"/>
      <c r="D33" s="10"/>
      <c r="E33" s="10"/>
      <c r="F33" s="10"/>
      <c r="G33" s="10"/>
      <c r="H33" s="10"/>
      <c r="I33" s="10"/>
    </row>
    <row r="34" spans="1:9" x14ac:dyDescent="0.3">
      <c r="A34" s="1"/>
      <c r="B34" s="4" t="s">
        <v>56</v>
      </c>
      <c r="C34" s="8">
        <v>26879.65</v>
      </c>
      <c r="D34" s="8">
        <v>34545.370000000003</v>
      </c>
      <c r="E34" s="8">
        <v>34114.81</v>
      </c>
      <c r="F34" s="8">
        <v>39219.97</v>
      </c>
      <c r="G34" s="8">
        <v>35612.410000000003</v>
      </c>
      <c r="H34" s="8">
        <v>61191.61</v>
      </c>
      <c r="I34" s="8">
        <v>53740.13</v>
      </c>
    </row>
    <row r="35" spans="1:9" x14ac:dyDescent="0.3">
      <c r="A35" s="1"/>
      <c r="B35" s="4" t="s">
        <v>57</v>
      </c>
      <c r="C35" s="8">
        <v>5027.34</v>
      </c>
      <c r="D35" s="8">
        <v>4658.71</v>
      </c>
      <c r="E35" s="8">
        <v>4203.8</v>
      </c>
      <c r="F35" s="8">
        <v>4429.37</v>
      </c>
      <c r="G35" s="8">
        <v>3641.61</v>
      </c>
      <c r="H35" s="8">
        <v>13822.22</v>
      </c>
      <c r="I35" s="8">
        <v>8064.83</v>
      </c>
    </row>
    <row r="36" spans="1:9" x14ac:dyDescent="0.3">
      <c r="A36" s="1"/>
      <c r="B36" s="16" t="s">
        <v>58</v>
      </c>
      <c r="C36" s="9">
        <v>31932.97</v>
      </c>
      <c r="D36" s="9">
        <v>39227.26</v>
      </c>
      <c r="E36" s="9">
        <v>38341.97</v>
      </c>
      <c r="F36" s="9">
        <v>43649.34</v>
      </c>
      <c r="G36" s="9">
        <v>39254.019999999997</v>
      </c>
      <c r="H36" s="9">
        <v>75013.84</v>
      </c>
      <c r="I36" s="9">
        <v>61804.959999999999</v>
      </c>
    </row>
    <row r="37" spans="1:9" x14ac:dyDescent="0.3">
      <c r="A37" s="1"/>
      <c r="B37" s="4"/>
      <c r="C37" s="10"/>
      <c r="D37" s="10"/>
      <c r="E37" s="10"/>
      <c r="F37" s="10"/>
      <c r="G37" s="10"/>
      <c r="H37" s="10"/>
      <c r="I37" s="10"/>
    </row>
    <row r="38" spans="1:9" x14ac:dyDescent="0.3">
      <c r="A38" s="1"/>
      <c r="B38" s="16" t="s">
        <v>59</v>
      </c>
      <c r="C38" s="9">
        <f>C31+C36</f>
        <v>38112.130000000005</v>
      </c>
      <c r="D38" s="9">
        <f t="shared" ref="D38:I38" si="1">D31+D36</f>
        <v>44697.340000000004</v>
      </c>
      <c r="E38" s="9">
        <f t="shared" si="1"/>
        <v>43774.91</v>
      </c>
      <c r="F38" s="9">
        <f t="shared" si="1"/>
        <v>50727.5</v>
      </c>
      <c r="G38" s="9">
        <f t="shared" si="1"/>
        <v>46263.67</v>
      </c>
      <c r="H38" s="9">
        <f t="shared" si="1"/>
        <v>90425.5</v>
      </c>
      <c r="I38" s="9">
        <f t="shared" si="1"/>
        <v>77856.600000000006</v>
      </c>
    </row>
    <row r="39" spans="1:9" x14ac:dyDescent="0.3">
      <c r="A39" s="1"/>
      <c r="B39" s="4"/>
      <c r="C39" s="10"/>
      <c r="D39" s="10"/>
      <c r="E39" s="10"/>
      <c r="F39" s="10"/>
      <c r="G39" s="10"/>
      <c r="H39" s="10"/>
      <c r="I39" s="10"/>
    </row>
    <row r="40" spans="1:9" x14ac:dyDescent="0.3">
      <c r="A40" s="1"/>
      <c r="B40" s="5" t="s">
        <v>60</v>
      </c>
      <c r="C40" s="10"/>
      <c r="D40" s="10"/>
      <c r="E40" s="10"/>
      <c r="F40" s="10"/>
      <c r="G40" s="10"/>
      <c r="H40" s="10"/>
      <c r="I40" s="10"/>
    </row>
    <row r="41" spans="1:9" x14ac:dyDescent="0.3">
      <c r="A41" s="1"/>
      <c r="B41" s="4" t="s">
        <v>61</v>
      </c>
      <c r="C41" s="8">
        <v>22464.41</v>
      </c>
      <c r="D41" s="8">
        <v>20591.060000000001</v>
      </c>
      <c r="E41" s="8">
        <v>21045.32</v>
      </c>
      <c r="F41" s="8">
        <v>21237.919999999998</v>
      </c>
      <c r="G41" s="8">
        <v>19972.91</v>
      </c>
      <c r="H41" s="8">
        <v>62277.09</v>
      </c>
      <c r="I41" s="8">
        <v>61828.38</v>
      </c>
    </row>
    <row r="42" spans="1:9" x14ac:dyDescent="0.3">
      <c r="A42" s="1"/>
      <c r="B42" s="4" t="s">
        <v>62</v>
      </c>
      <c r="C42" s="8">
        <v>0</v>
      </c>
      <c r="D42" s="8">
        <v>0</v>
      </c>
      <c r="E42" s="8">
        <v>647.01</v>
      </c>
      <c r="F42" s="8">
        <v>1609.95</v>
      </c>
      <c r="G42" s="8">
        <v>2538.81</v>
      </c>
      <c r="H42" s="8">
        <v>0</v>
      </c>
      <c r="I42" s="8">
        <v>8462.7900000000009</v>
      </c>
    </row>
    <row r="43" spans="1:9" x14ac:dyDescent="0.3">
      <c r="A43" s="1"/>
      <c r="B43" s="4" t="s">
        <v>63</v>
      </c>
      <c r="C43" s="8">
        <v>-125.39</v>
      </c>
      <c r="D43" s="8">
        <v>-92.73</v>
      </c>
      <c r="E43" s="8">
        <v>-100.34</v>
      </c>
      <c r="F43" s="8">
        <v>-54.2</v>
      </c>
      <c r="G43" s="8">
        <v>195.95</v>
      </c>
      <c r="H43" s="8">
        <v>191.07</v>
      </c>
      <c r="I43" s="8">
        <v>189.01</v>
      </c>
    </row>
    <row r="44" spans="1:9" x14ac:dyDescent="0.3">
      <c r="A44" s="1"/>
      <c r="B44" s="16" t="s">
        <v>64</v>
      </c>
      <c r="C44" s="9">
        <v>22338.66</v>
      </c>
      <c r="D44" s="9">
        <v>20497.98</v>
      </c>
      <c r="E44" s="9">
        <v>21591.63</v>
      </c>
      <c r="F44" s="9">
        <v>22793.25</v>
      </c>
      <c r="G44" s="9">
        <v>22707.279999999999</v>
      </c>
      <c r="H44" s="9">
        <v>62468.15</v>
      </c>
      <c r="I44" s="9">
        <v>70480.160000000003</v>
      </c>
    </row>
    <row r="45" spans="1:9" x14ac:dyDescent="0.3">
      <c r="A45" s="1"/>
      <c r="B45" s="4"/>
      <c r="C45" s="10"/>
      <c r="D45" s="10"/>
      <c r="E45" s="10"/>
      <c r="F45" s="10"/>
      <c r="G45" s="10"/>
      <c r="H45" s="10"/>
      <c r="I45" s="10"/>
    </row>
    <row r="46" spans="1:9" x14ac:dyDescent="0.3">
      <c r="A46" s="1"/>
      <c r="B46" s="16" t="s">
        <v>65</v>
      </c>
      <c r="C46" s="9">
        <f>C38+C44</f>
        <v>60450.790000000008</v>
      </c>
      <c r="D46" s="9">
        <f t="shared" ref="D46:I46" si="2">D38+D44</f>
        <v>65195.320000000007</v>
      </c>
      <c r="E46" s="9">
        <f t="shared" si="2"/>
        <v>65366.540000000008</v>
      </c>
      <c r="F46" s="9">
        <f t="shared" si="2"/>
        <v>73520.75</v>
      </c>
      <c r="G46" s="9">
        <f t="shared" si="2"/>
        <v>68970.95</v>
      </c>
      <c r="H46" s="9">
        <f t="shared" si="2"/>
        <v>152893.65</v>
      </c>
      <c r="I46" s="9">
        <f t="shared" si="2"/>
        <v>148336.76</v>
      </c>
    </row>
    <row r="47" spans="1:9" x14ac:dyDescent="0.3">
      <c r="A47" s="1"/>
      <c r="B47" s="4"/>
      <c r="C47" s="10"/>
      <c r="D47" s="10"/>
      <c r="E47" s="10"/>
      <c r="F47" s="10"/>
      <c r="G47" s="10"/>
      <c r="H47" s="10"/>
      <c r="I47" s="10"/>
    </row>
    <row r="48" spans="1:9" x14ac:dyDescent="0.3">
      <c r="A48" s="1"/>
      <c r="B48" s="16" t="s">
        <v>66</v>
      </c>
      <c r="C48" s="9">
        <f>ROUND(C23-C46,1)</f>
        <v>0</v>
      </c>
      <c r="D48" s="9">
        <f t="shared" ref="D48:I48" si="3">ROUND(D23-D46,1)</f>
        <v>0</v>
      </c>
      <c r="E48" s="9">
        <f t="shared" si="3"/>
        <v>0</v>
      </c>
      <c r="F48" s="9">
        <f t="shared" si="3"/>
        <v>0</v>
      </c>
      <c r="G48" s="9">
        <f t="shared" si="3"/>
        <v>0</v>
      </c>
      <c r="H48" s="9">
        <f t="shared" si="3"/>
        <v>0</v>
      </c>
      <c r="I48" s="9">
        <f t="shared" si="3"/>
        <v>0</v>
      </c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3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3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3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3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3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3">
      <c r="A70" s="1"/>
      <c r="B70" s="1"/>
      <c r="C70" s="1"/>
      <c r="D70" s="1"/>
      <c r="E70" s="1"/>
      <c r="F70" s="1"/>
      <c r="G70" s="1"/>
      <c r="H70" s="1"/>
      <c r="I7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Control</vt:lpstr>
      <vt:lpstr>Drivers &amp; Operating Metrics</vt:lpstr>
      <vt:lpstr>Revenue Build</vt:lpstr>
      <vt:lpstr>DCF</vt:lpstr>
      <vt:lpstr>NWC</vt:lpstr>
      <vt:lpstr>WACC</vt:lpstr>
      <vt:lpstr>Income Statement</vt:lpstr>
      <vt:lpstr>Balance Sheet</vt:lpstr>
      <vt:lpstr>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Patel</dc:creator>
  <cp:lastModifiedBy>Bhavya Patel</cp:lastModifiedBy>
  <dcterms:created xsi:type="dcterms:W3CDTF">2026-03-17T17:13:41Z</dcterms:created>
  <dcterms:modified xsi:type="dcterms:W3CDTF">2026-03-23T18:17:35Z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{1A47A6BB-635C-4E50-833E-C54B79C70AC8}</vt:lpwstr>
  </property>
</Properties>
</file>